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Sheet1!$A$1:$AO$852</definedName>
  </definedNames>
  <calcPr fullCalcOnLoad="1"/>
</workbook>
</file>

<file path=xl/sharedStrings.xml><?xml version="1.0" encoding="utf-8"?>
<sst xmlns="http://schemas.openxmlformats.org/spreadsheetml/2006/main" count="5564" uniqueCount="1685">
  <si>
    <t>Deposit</t>
  </si>
  <si>
    <t>Country</t>
  </si>
  <si>
    <t>Primary Deposit Type</t>
  </si>
  <si>
    <t>Secondary Deposit Type</t>
  </si>
  <si>
    <t>Company</t>
  </si>
  <si>
    <t>Source</t>
  </si>
  <si>
    <t>Mt ore</t>
  </si>
  <si>
    <t>%Pb</t>
  </si>
  <si>
    <t>%Zn</t>
  </si>
  <si>
    <t>g/t Ag</t>
  </si>
  <si>
    <t>%Cu</t>
  </si>
  <si>
    <t>g/t Au</t>
  </si>
  <si>
    <t>%Ba</t>
  </si>
  <si>
    <t>%Ni</t>
  </si>
  <si>
    <t>%Co</t>
  </si>
  <si>
    <t>%Sn</t>
  </si>
  <si>
    <t>g/t In</t>
  </si>
  <si>
    <t>%Mo</t>
  </si>
  <si>
    <t>%Fe</t>
  </si>
  <si>
    <t>%WO3</t>
  </si>
  <si>
    <t>%U3O8</t>
  </si>
  <si>
    <t>%As</t>
  </si>
  <si>
    <t>%V</t>
  </si>
  <si>
    <t>Other</t>
  </si>
  <si>
    <t>Mt Pb</t>
  </si>
  <si>
    <t>Mt Zn</t>
  </si>
  <si>
    <t>t Ag</t>
  </si>
  <si>
    <t>t Au</t>
  </si>
  <si>
    <t>Mt Cu</t>
  </si>
  <si>
    <t>Mt Pb+Zn+Cu</t>
  </si>
  <si>
    <t>%Pb+Zn+Cu</t>
  </si>
  <si>
    <t>ore.%Pb</t>
  </si>
  <si>
    <t>ore.%Zn</t>
  </si>
  <si>
    <t>ore.g/t Ag</t>
  </si>
  <si>
    <t>ore.%Cu</t>
  </si>
  <si>
    <t>ore.g/t Au</t>
  </si>
  <si>
    <t>%metals</t>
  </si>
  <si>
    <t>Mt metals</t>
  </si>
  <si>
    <t>Ain Khala</t>
  </si>
  <si>
    <t>Algeria</t>
  </si>
  <si>
    <t>Sediment-hosted Pb-Zn</t>
  </si>
  <si>
    <t>MVT</t>
  </si>
  <si>
    <t>NC</t>
  </si>
  <si>
    <t>unknown</t>
  </si>
  <si>
    <t>USGS OFR 1297</t>
  </si>
  <si>
    <t>Boukdema-Kef Semmah</t>
  </si>
  <si>
    <t>Leach et al (2005)</t>
  </si>
  <si>
    <t>El Abed</t>
  </si>
  <si>
    <t>Kherzet Youcef</t>
  </si>
  <si>
    <t>Oued El Kebir</t>
  </si>
  <si>
    <t>VMS</t>
  </si>
  <si>
    <t>Kuroko</t>
  </si>
  <si>
    <t>C</t>
  </si>
  <si>
    <t>formerly Celamin Holdings</t>
  </si>
  <si>
    <t>Annual Report 2011</t>
  </si>
  <si>
    <t>Tala Hamza</t>
  </si>
  <si>
    <t>Epithermal</t>
  </si>
  <si>
    <t>Terramin Australia</t>
  </si>
  <si>
    <t>Annual Report 2013</t>
  </si>
  <si>
    <t>Tan Chaffao Est</t>
  </si>
  <si>
    <t>Cancor Mines</t>
  </si>
  <si>
    <t>Tech Rep (2012-02)</t>
  </si>
  <si>
    <t>Aguilar</t>
  </si>
  <si>
    <t>Argentina</t>
  </si>
  <si>
    <t>Sedex</t>
  </si>
  <si>
    <t>Glencore Xstrata</t>
  </si>
  <si>
    <t>Reserves-Resources 2013</t>
  </si>
  <si>
    <t>Los Azules</t>
  </si>
  <si>
    <t>Porphyry</t>
  </si>
  <si>
    <t>McEwen Mining</t>
  </si>
  <si>
    <t>Tech Rep (2013-10)</t>
  </si>
  <si>
    <t>Navidad</t>
  </si>
  <si>
    <t>Pan American Silver Corp.</t>
  </si>
  <si>
    <t>Ann Info Form 2013</t>
  </si>
  <si>
    <t>Pingüino</t>
  </si>
  <si>
    <t>Low sulfidation</t>
  </si>
  <si>
    <t>Argentex Mining Corp</t>
  </si>
  <si>
    <t>Tech Rep (2014-08)</t>
  </si>
  <si>
    <t>Pirquitas</t>
  </si>
  <si>
    <t>Low sulfidation?</t>
  </si>
  <si>
    <t>Silver Standard</t>
  </si>
  <si>
    <t>Akhtala (Alaverdi)</t>
  </si>
  <si>
    <t>Armenia</t>
  </si>
  <si>
    <t>Mederer et al 2014</t>
  </si>
  <si>
    <t>Armanis-Sagamar</t>
  </si>
  <si>
    <t>Global Metals</t>
  </si>
  <si>
    <t>Website (2016-05-01)</t>
  </si>
  <si>
    <t>Shahumyan (Kapan)</t>
  </si>
  <si>
    <t>Dundee Precious Metals</t>
  </si>
  <si>
    <t>Shamlugh</t>
  </si>
  <si>
    <t>Calder et al (2014)</t>
  </si>
  <si>
    <t>Marjan</t>
  </si>
  <si>
    <t>Global Gold Corp</t>
  </si>
  <si>
    <t>Website (2014-08-11)</t>
  </si>
  <si>
    <t>Admiral Bay</t>
  </si>
  <si>
    <t>Australia</t>
  </si>
  <si>
    <t>Kagara</t>
  </si>
  <si>
    <t>Ann Rep 2011</t>
  </si>
  <si>
    <t>Allison's Lode</t>
  </si>
  <si>
    <t>Zeehan Zinc / Creat Resources Holdings</t>
  </si>
  <si>
    <t>Media (2009-03-29)</t>
  </si>
  <si>
    <t>Altia</t>
  </si>
  <si>
    <t>Breakaway Resources (now Minotaur Exploration)</t>
  </si>
  <si>
    <t>Ann Rep 2012</t>
  </si>
  <si>
    <t>Anaconda</t>
  </si>
  <si>
    <t>Glencore (?)</t>
  </si>
  <si>
    <t>Minedex (2013-05-05)</t>
  </si>
  <si>
    <t>Angas</t>
  </si>
  <si>
    <t>Ann Rep 2013</t>
  </si>
  <si>
    <t>Area 55</t>
  </si>
  <si>
    <t>Magmatic sulfide</t>
  </si>
  <si>
    <t>Sediment-hosted polymetallic</t>
  </si>
  <si>
    <t>Hunnan Australia Resources</t>
  </si>
  <si>
    <t>Ann Rep 2007 (Compass Res.)</t>
  </si>
  <si>
    <t>Balcooma Group</t>
  </si>
  <si>
    <t>Bali Hi</t>
  </si>
  <si>
    <t>Artemis Resources (?)</t>
  </si>
  <si>
    <t>Barrow Creek-Home of Bullion</t>
  </si>
  <si>
    <t>Kidman Resources</t>
  </si>
  <si>
    <t>Ann Rep 2015</t>
  </si>
  <si>
    <t>Belara</t>
  </si>
  <si>
    <t>Ironbark Zinc</t>
  </si>
  <si>
    <t>Website (2013-03-22)</t>
  </si>
  <si>
    <t>Bentley</t>
  </si>
  <si>
    <t>Independence Group</t>
  </si>
  <si>
    <t>Bowdens</t>
  </si>
  <si>
    <t>Kingsgate Consolidated</t>
  </si>
  <si>
    <t>Broken Hill (Aust)</t>
  </si>
  <si>
    <t>Perilya Mines</t>
  </si>
  <si>
    <t>media (2012-12-28)</t>
  </si>
  <si>
    <t>Broken Hill (Aust)-Rasp</t>
  </si>
  <si>
    <t>Toho Zinc</t>
  </si>
  <si>
    <t>Ann Rep 2009 (CBH)</t>
  </si>
  <si>
    <t>Browns Reef</t>
  </si>
  <si>
    <t>Orogenic Au</t>
  </si>
  <si>
    <t>Comet Resources</t>
  </si>
  <si>
    <t>Ann Rep 2007</t>
  </si>
  <si>
    <t>Brown's-Brown's East</t>
  </si>
  <si>
    <t>HNC Australia Resources</t>
  </si>
  <si>
    <t>NT DME Fact Sheet 2013-09</t>
  </si>
  <si>
    <t>Bulman</t>
  </si>
  <si>
    <t>Admiralty Resources</t>
  </si>
  <si>
    <t>Burns Peak</t>
  </si>
  <si>
    <t>Mancala Resources Pty Ltd</t>
  </si>
  <si>
    <t>DPEMP (2014)</t>
  </si>
  <si>
    <t>Burnside-Iron Blow</t>
  </si>
  <si>
    <t>Crocodile Gold</t>
  </si>
  <si>
    <t>Tech Rep (2013-07)</t>
  </si>
  <si>
    <t>Cannington</t>
  </si>
  <si>
    <t>BHP Billiton</t>
  </si>
  <si>
    <t>Carboona</t>
  </si>
  <si>
    <t>Aust Mines Atlas (2013-10-01)</t>
  </si>
  <si>
    <t>%F</t>
  </si>
  <si>
    <t>Century-Century East</t>
  </si>
  <si>
    <t>MMG</t>
  </si>
  <si>
    <t>Chakola-Harnett Central</t>
  </si>
  <si>
    <t>Capital Mining</t>
  </si>
  <si>
    <t>Comstock (Australia)</t>
  </si>
  <si>
    <t>Conrad-King Conrad-Greisen</t>
  </si>
  <si>
    <t>Skarn</t>
  </si>
  <si>
    <t>Malachite Resources</t>
  </si>
  <si>
    <t>Ann Rep 2009</t>
  </si>
  <si>
    <t>Coxco</t>
  </si>
  <si>
    <t>Daly River Anomaly A</t>
  </si>
  <si>
    <t>Troy Resources</t>
  </si>
  <si>
    <t>Develin Creek-Rookwood</t>
  </si>
  <si>
    <t>Fitzroy Resources</t>
  </si>
  <si>
    <t>Djibigan (Manbarrum)</t>
  </si>
  <si>
    <t>Sediment-hosted Pb-Zn?</t>
  </si>
  <si>
    <t>Sedex?</t>
  </si>
  <si>
    <t>TNG Ltd (sold to Legacy Iron late 2013)</t>
  </si>
  <si>
    <t>Dugald River</t>
  </si>
  <si>
    <t>Eastman</t>
  </si>
  <si>
    <t>Massive Resources Pty Ltd</t>
  </si>
  <si>
    <t>Ediacara</t>
  </si>
  <si>
    <t>SA DMITRE Website (2014-12-15)</t>
  </si>
  <si>
    <t>Emull-Lamboo</t>
  </si>
  <si>
    <t>Northern Star Resources</t>
  </si>
  <si>
    <t>Endeavour (Elura)</t>
  </si>
  <si>
    <t>Tech Rep (2013-04) (Couer Mining)</t>
  </si>
  <si>
    <t>Evelyn</t>
  </si>
  <si>
    <t>Explorer 108</t>
  </si>
  <si>
    <t>Westgold Resources (now Metals-X)</t>
  </si>
  <si>
    <t>Federation</t>
  </si>
  <si>
    <t>Flinders Group</t>
  </si>
  <si>
    <t>Fossey-Fossey East</t>
  </si>
  <si>
    <t>Bass Metals</t>
  </si>
  <si>
    <t>Golden Grove</t>
  </si>
  <si>
    <t>Gossan Dam-Bonnie Rock</t>
  </si>
  <si>
    <t>Epithermal?</t>
  </si>
  <si>
    <t>Grants Creek-Wilsons Reef</t>
  </si>
  <si>
    <t>Firestrike Resources</t>
  </si>
  <si>
    <t>Grieves Quarry</t>
  </si>
  <si>
    <t>Icon Resources</t>
  </si>
  <si>
    <t>Website (2013-03-24)</t>
  </si>
  <si>
    <t>Hellyer Remnants</t>
  </si>
  <si>
    <r>
      <t/>
    </r>
    <r>
      <rPr>
        <sz val="10"/>
        <color rgb="FF000000"/>
        <rFont val="Arial"/>
        <family val="2"/>
      </rPr>
      <t xml:space="preserve">Hellyer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</si>
  <si>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ff0000"/>
        <rFont val="Arial"/>
        <family val="2"/>
      </rPr>
      <t xml:space="preserve">VMS </t>
    </r>
    <r>
      <rPr>
        <b/>
        <sz val="10"/>
        <color rgb="FFff0000"/>
        <rFont val="Arial"/>
        <family val="2"/>
      </rPr>
      <t>Tailings</t>
    </r>
  </si>
  <si>
    <t>TC</t>
  </si>
  <si>
    <t>Ivy Resources</t>
  </si>
  <si>
    <t>Ann Rep 2011 (Bass Metals)</t>
  </si>
  <si>
    <t>Hera</t>
  </si>
  <si>
    <t>YTC Resources</t>
  </si>
  <si>
    <t>Higgs</t>
  </si>
  <si>
    <t>Frontier Resources (?)</t>
  </si>
  <si>
    <t>Jackson-Stella-Chloe Trend</t>
  </si>
  <si>
    <t>Kagara (?)</t>
  </si>
  <si>
    <t>Ann Rep 2011 (Copper Strike)</t>
  </si>
  <si>
    <t>Jaguar</t>
  </si>
  <si>
    <t>Jervois Group</t>
  </si>
  <si>
    <t>Possibly Sedex</t>
  </si>
  <si>
    <t>KGL-Kentor Gold</t>
  </si>
  <si>
    <t>Kamarga-JB</t>
  </si>
  <si>
    <t>RMG</t>
  </si>
  <si>
    <t>Kangaroo Caves</t>
  </si>
  <si>
    <t>Venturex Resources</t>
  </si>
  <si>
    <t>Kangiara</t>
  </si>
  <si>
    <t>Porpphyry Cu-Au</t>
  </si>
  <si>
    <t>Paradigm Metals</t>
  </si>
  <si>
    <t>Kempfield</t>
  </si>
  <si>
    <t>Argent Minerals</t>
  </si>
  <si>
    <t>Koonenberry</t>
  </si>
  <si>
    <t>Ausmon Resources</t>
  </si>
  <si>
    <t>Kroombit (Cu+Zn/Cu)</t>
  </si>
  <si>
    <t>Argonaut Resources</t>
  </si>
  <si>
    <t>Media (2009-06-11)</t>
  </si>
  <si>
    <t>Lady Loretta</t>
  </si>
  <si>
    <t>ResV ResC 2013</t>
  </si>
  <si>
    <t>Lennard Shelf Group</t>
  </si>
  <si>
    <t>North-West Mining &amp; Geology Group (formerly Meridian Minerals)</t>
  </si>
  <si>
    <t>Lennon's Find</t>
  </si>
  <si>
    <t>Laconia Resources (sold to Musketeer Minerals Pty Ltd late 2013)</t>
  </si>
  <si>
    <t>Lewis Ponds</t>
  </si>
  <si>
    <t>TriAusMin</t>
  </si>
  <si>
    <t>Liberty-Indee (Evelyn)</t>
  </si>
  <si>
    <t>Magellan</t>
  </si>
  <si>
    <t>Non-sulfide MVT</t>
  </si>
  <si>
    <t>Ivernia</t>
  </si>
  <si>
    <t>Manindi-Freddie Well</t>
  </si>
  <si>
    <t>Metals Australia</t>
  </si>
  <si>
    <t>Maramungee</t>
  </si>
  <si>
    <t>Williams &amp; Heinemann (1993)</t>
  </si>
  <si>
    <t>Mariposa</t>
  </si>
  <si>
    <t>Mayfield</t>
  </si>
  <si>
    <t>Forge Resources / Capital Mining</t>
  </si>
  <si>
    <t>Ann Rep 2013 (Capital)</t>
  </si>
  <si>
    <t>McArthur River</t>
  </si>
  <si>
    <t>Menninnie Dam</t>
  </si>
  <si>
    <t>Merlin-Little Wizard</t>
  </si>
  <si>
    <t>IOCG</t>
  </si>
  <si>
    <t>Cloncurry-type</t>
  </si>
  <si>
    <t>Inova Res. (formerly Ivanhoe Aust.)</t>
  </si>
  <si>
    <t>Tech Rep (2010-10)</t>
  </si>
  <si>
    <t>g/t Re</t>
  </si>
  <si>
    <t>Mons Cupri</t>
  </si>
  <si>
    <t>Morrison</t>
  </si>
  <si>
    <t>Aust Mines Atlas (2013-09-30)</t>
  </si>
  <si>
    <t>Mt Angelo North</t>
  </si>
  <si>
    <t>Porphyry Cu-Au-Pb-Zn</t>
  </si>
  <si>
    <t>3D Resources</t>
  </si>
  <si>
    <t>Mt Ararat</t>
  </si>
  <si>
    <t>Stavely Minerals</t>
  </si>
  <si>
    <t>Media (2015-09-08)</t>
  </si>
  <si>
    <t>Mt Bonnie</t>
  </si>
  <si>
    <t>Mt Charter</t>
  </si>
  <si>
    <t>Mt Clement-Eastern Hills</t>
  </si>
  <si>
    <t>Artemis Resources</t>
  </si>
  <si>
    <t>%Sb</t>
  </si>
  <si>
    <t>Mt Dore</t>
  </si>
  <si>
    <t>Mt Garnet Group</t>
  </si>
  <si>
    <t>Mt Isa (Open Cut)</t>
  </si>
  <si>
    <t>Mt Isa-Black Star</t>
  </si>
  <si>
    <t>Mt Isa-George Fisher North</t>
  </si>
  <si>
    <t>Mt Isa-George Fisher South (Hilton)</t>
  </si>
  <si>
    <t>Mt Isa-Handle Bar Hill</t>
  </si>
  <si>
    <t>Mt Moss</t>
  </si>
  <si>
    <t>Curtain Bros (Qld)</t>
  </si>
  <si>
    <t>Qld Met. Ind. Mines 2012</t>
  </si>
  <si>
    <t>Mt Mulcahy</t>
  </si>
  <si>
    <t>Black Raven Mining</t>
  </si>
  <si>
    <t>Mulgul-Jillawarra (Abra)</t>
  </si>
  <si>
    <t>Hunan Nonferrous Metals</t>
  </si>
  <si>
    <t>Ann Rep 2010 (Jabiru Metals; also Minedex)</t>
  </si>
  <si>
    <t>Myrtle</t>
  </si>
  <si>
    <t>Rox Resources</t>
  </si>
  <si>
    <t>Narrawa</t>
  </si>
  <si>
    <t>Torque Mining (formerly Frontier Resources)</t>
  </si>
  <si>
    <t>Prospectus (2013-07)</t>
  </si>
  <si>
    <t>Nightflower-Digger Lode</t>
  </si>
  <si>
    <t>media (2008-09-26) (Axiom Mining)</t>
  </si>
  <si>
    <t>Nimbus</t>
  </si>
  <si>
    <t>High sulfidation</t>
  </si>
  <si>
    <t>MacPhersons Resources</t>
  </si>
  <si>
    <t>Tech Rep (2013-11)</t>
  </si>
  <si>
    <t>g/t Hg</t>
  </si>
  <si>
    <t>Northampton-Mary Springs</t>
  </si>
  <si>
    <t>Prospect Resources (formerly Ethan Minerals)</t>
  </si>
  <si>
    <t>Nymagee</t>
  </si>
  <si>
    <t>O'Callaghans</t>
  </si>
  <si>
    <t>Newcrest Mining</t>
  </si>
  <si>
    <t>Oceana</t>
  </si>
  <si>
    <t>Onedin (Koongie Park)</t>
  </si>
  <si>
    <t>Anglo Australian Resources</t>
  </si>
  <si>
    <t>Parkers Hill (Mineral Hill)</t>
  </si>
  <si>
    <t>KBL Mining</t>
  </si>
  <si>
    <t>Peelwood North/South</t>
  </si>
  <si>
    <t>Balamara Resources (Sultan Corp)</t>
  </si>
  <si>
    <t>Pegmont</t>
  </si>
  <si>
    <t>Pegmont Mines</t>
  </si>
  <si>
    <t>Peterlumbo-Paris</t>
  </si>
  <si>
    <t>High sulfidation?</t>
  </si>
  <si>
    <t>Investigator Resources</t>
  </si>
  <si>
    <t>Media (2013-10-15)</t>
  </si>
  <si>
    <t>Prairie Downs</t>
  </si>
  <si>
    <t>Prairie Downs Metals (now Brumby Resources)</t>
  </si>
  <si>
    <t>Que River-Que River S Lens</t>
  </si>
  <si>
    <t>Queenslander</t>
  </si>
  <si>
    <t>Quinns-Austin</t>
  </si>
  <si>
    <t>Caravel Minerals (formerly Silver Swan Group)</t>
  </si>
  <si>
    <t>Railway Flat</t>
  </si>
  <si>
    <t>Range &amp; Turtle/Copper Ridge</t>
  </si>
  <si>
    <t>Onslow Minerals</t>
  </si>
  <si>
    <t>Red Cap Group</t>
  </si>
  <si>
    <t>Qtr 2012-06</t>
  </si>
  <si>
    <t>Rosebery-South Hercules</t>
  </si>
  <si>
    <t>Salt Creek</t>
  </si>
  <si>
    <t>Sandiego</t>
  </si>
  <si>
    <t>Sandy Creek</t>
  </si>
  <si>
    <t>TNG Ltd</t>
  </si>
  <si>
    <t>Silver King</t>
  </si>
  <si>
    <t>Sorby Hills</t>
  </si>
  <si>
    <t>Stockman</t>
  </si>
  <si>
    <t>Sulphur Springs</t>
  </si>
  <si>
    <t>Sunny Corner</t>
  </si>
  <si>
    <t>Sunshine</t>
  </si>
  <si>
    <t>Stonehenge Metals (?)</t>
  </si>
  <si>
    <t>Sunter</t>
  </si>
  <si>
    <t>Tally Ho</t>
  </si>
  <si>
    <t>Orogenic Au?</t>
  </si>
  <si>
    <t>Alcyone Resources</t>
  </si>
  <si>
    <t>Ann Rep 2008</t>
  </si>
  <si>
    <t>Teena</t>
  </si>
  <si>
    <t>Media (2016-06-01)</t>
  </si>
  <si>
    <t>Teutonic Bore</t>
  </si>
  <si>
    <t>Thalanga Group</t>
  </si>
  <si>
    <t>Trilogy</t>
  </si>
  <si>
    <t>Associated with Kundip</t>
  </si>
  <si>
    <t>Silver Lake Resources</t>
  </si>
  <si>
    <t>Ann Rep 2012/2013</t>
  </si>
  <si>
    <t>Turner River-Orchard Well/Discovery</t>
  </si>
  <si>
    <t>De Grey Mining</t>
  </si>
  <si>
    <t>Wagga Tank</t>
  </si>
  <si>
    <t>MMG51%, Golden Cross Resources49%</t>
  </si>
  <si>
    <t>Ann Rep 2001 (GCR)</t>
  </si>
  <si>
    <t>Walford Creek</t>
  </si>
  <si>
    <t>Aeon Metals</t>
  </si>
  <si>
    <t>ASX (2014-04-03)</t>
  </si>
  <si>
    <t>Webbs</t>
  </si>
  <si>
    <t>Silver Mines</t>
  </si>
  <si>
    <t>Whim Creek</t>
  </si>
  <si>
    <t>Whundo Cu-Zn / Zn</t>
  </si>
  <si>
    <t>Fox Resources</t>
  </si>
  <si>
    <t>Wonawinta</t>
  </si>
  <si>
    <t>MVT?</t>
  </si>
  <si>
    <t>Cobar Consolidated Resources</t>
  </si>
  <si>
    <t>Inv Pres 2014-03</t>
  </si>
  <si>
    <r>
      <t/>
    </r>
    <r>
      <rPr>
        <sz val="10"/>
        <color rgb="FF000000"/>
        <rFont val="Arial"/>
        <family val="2"/>
      </rPr>
      <t xml:space="preserve">Woodlawn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</si>
  <si>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Sediment-hosted Pb-Zn/VMS </t>
    </r>
    <r>
      <rPr>
        <b/>
        <sz val="10"/>
        <color rgb="FFff0000"/>
        <rFont val="Arial"/>
        <family val="2"/>
      </rPr>
      <t>Tailings</t>
    </r>
  </si>
  <si>
    <t>Sedex/VMS</t>
  </si>
  <si>
    <t>Woodlawn Underground</t>
  </si>
  <si>
    <t>Sediment-hosted Pb-Zn/VMS</t>
  </si>
  <si>
    <r>
      <t/>
    </r>
    <r>
      <rPr>
        <sz val="10"/>
        <color rgb="FF000000"/>
        <rFont val="Arial"/>
        <family val="2"/>
      </rPr>
      <t xml:space="preserve">Zeehan Group </t>
    </r>
    <r>
      <rPr>
        <b/>
        <sz val="10"/>
        <color rgb="FF008000"/>
        <rFont val="Arial"/>
        <family val="2"/>
      </rPr>
      <t>Slag</t>
    </r>
  </si>
  <si>
    <r>
      <t/>
    </r>
    <r>
      <rPr>
        <sz val="10"/>
        <color rgb="FF000000"/>
        <rFont val="Arial"/>
        <family val="2"/>
      </rPr>
      <t xml:space="preserve">VMS </t>
    </r>
    <r>
      <rPr>
        <b/>
        <sz val="10"/>
        <color rgb="FF008000"/>
        <rFont val="Arial"/>
        <family val="2"/>
      </rPr>
      <t>Slag</t>
    </r>
  </si>
  <si>
    <t>VMS Slag</t>
  </si>
  <si>
    <t>Intec Ltd</t>
  </si>
  <si>
    <t>Ann Rep 2007, 2013</t>
  </si>
  <si>
    <t>Filizchay (Filizchai)</t>
  </si>
  <si>
    <t>Azerbaijan</t>
  </si>
  <si>
    <t>Azerbaijan Gov't website (2015-04-24)</t>
  </si>
  <si>
    <t>Bolivar</t>
  </si>
  <si>
    <t>Bolivia</t>
  </si>
  <si>
    <t>Bolivian Polymetallic vein type?</t>
  </si>
  <si>
    <t>Caballo Blanco</t>
  </si>
  <si>
    <r>
      <t/>
    </r>
    <r>
      <rPr>
        <sz val="10"/>
        <color rgb="FF000000"/>
        <rFont val="Arial"/>
        <family val="2"/>
      </rPr>
      <t xml:space="preserve">La Solución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</si>
  <si>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Epithermal ? </t>
    </r>
    <r>
      <rPr>
        <b/>
        <sz val="10"/>
        <color rgb="FFff0000"/>
        <rFont val="Arial"/>
        <family val="2"/>
      </rPr>
      <t>Tailings</t>
    </r>
  </si>
  <si>
    <t>Apogee Minerals</t>
  </si>
  <si>
    <t>Tech Rep (2007-11)</t>
  </si>
  <si>
    <t>La Solución-Veta Hampaturi Sur</t>
  </si>
  <si>
    <t>Tech Rep (2007-05)</t>
  </si>
  <si>
    <t>Malku Khota</t>
  </si>
  <si>
    <t>South American Silver Corp</t>
  </si>
  <si>
    <t>Tech Rep (2011-05)</t>
  </si>
  <si>
    <t>g/t Ga</t>
  </si>
  <si>
    <t>Paca</t>
  </si>
  <si>
    <t>Poopo</t>
  </si>
  <si>
    <t>Porco</t>
  </si>
  <si>
    <t>Pulacayo-Paya</t>
  </si>
  <si>
    <t>Apogee Minerals, COMIBOL</t>
  </si>
  <si>
    <t>Tech Rep (2013-01)</t>
  </si>
  <si>
    <t>San Vicente (Bolivia)</t>
  </si>
  <si>
    <t>Kihabe</t>
  </si>
  <si>
    <t>Botswana</t>
  </si>
  <si>
    <t>Mt Burgess Mining</t>
  </si>
  <si>
    <t>Nxuu</t>
  </si>
  <si>
    <t>Aripuanã (Ambrex-Arex-Expedito-Valley)</t>
  </si>
  <si>
    <t>Brazil</t>
  </si>
  <si>
    <t>Votorantim Metais-70%, Karmin Expl-30%</t>
  </si>
  <si>
    <t>Tech Rep (2013-02)</t>
  </si>
  <si>
    <t>Boquira</t>
  </si>
  <si>
    <t>Misi et al (1999)</t>
  </si>
  <si>
    <t>Canoas</t>
  </si>
  <si>
    <t>Fagundes</t>
  </si>
  <si>
    <t>Irecê</t>
  </si>
  <si>
    <t>Januaria</t>
  </si>
  <si>
    <t>Morro Agudo</t>
  </si>
  <si>
    <t>Cunha et al (2000)</t>
  </si>
  <si>
    <t>Nova Redenção (New Redemption)</t>
  </si>
  <si>
    <t>Filho et al (2001)</t>
  </si>
  <si>
    <t>%Cd</t>
  </si>
  <si>
    <t>Palmeirópolis</t>
  </si>
  <si>
    <t>Brandão et al (2000)</t>
  </si>
  <si>
    <t>Perau</t>
  </si>
  <si>
    <t>S. Maria</t>
  </si>
  <si>
    <t>Tres Irmas</t>
  </si>
  <si>
    <t>Vazante</t>
  </si>
  <si>
    <t>Monteiro et al (2007)</t>
  </si>
  <si>
    <t>Perkoa</t>
  </si>
  <si>
    <t>Burkina Faso</t>
  </si>
  <si>
    <t>Abcourt-Barvue</t>
  </si>
  <si>
    <t>Canada</t>
  </si>
  <si>
    <t>Abcourt Mines Inc</t>
  </si>
  <si>
    <t>Tech Rep (2014-04)</t>
  </si>
  <si>
    <t>Akie-Cardiac Creek</t>
  </si>
  <si>
    <t>Canada Zinc Metals</t>
  </si>
  <si>
    <t>Tech Rep (2012-05)</t>
  </si>
  <si>
    <t>Aldermac</t>
  </si>
  <si>
    <t>Abcourt Mines</t>
  </si>
  <si>
    <t>Ann Info Form 2011</t>
  </si>
  <si>
    <t>Amy</t>
  </si>
  <si>
    <t>?</t>
  </si>
  <si>
    <t>BC OFR (1998-10)</t>
  </si>
  <si>
    <t>Andrew (Lad)</t>
  </si>
  <si>
    <t>Mesothermal Vein</t>
  </si>
  <si>
    <t>Overland Resources</t>
  </si>
  <si>
    <t>g/t Ge</t>
  </si>
  <si>
    <t>Atlin-Ruffner</t>
  </si>
  <si>
    <t>Barvallée</t>
  </si>
  <si>
    <t>Bear</t>
  </si>
  <si>
    <t>unknown (Solid Res. Now Iberian Mins.??)</t>
  </si>
  <si>
    <t>NWT Guide 2007</t>
  </si>
  <si>
    <t>Bear-Twit</t>
  </si>
  <si>
    <t>Belfort (Roymont)</t>
  </si>
  <si>
    <t>Bend 1 (Canyon Zone)</t>
  </si>
  <si>
    <t>SEDEX</t>
  </si>
  <si>
    <t>Berrigan North (Taché)</t>
  </si>
  <si>
    <t>Chibougamau Independent Mines Inc</t>
  </si>
  <si>
    <t>Tech Rep (2012-08)</t>
  </si>
  <si>
    <t>Berrigan South (Lac Taché)</t>
  </si>
  <si>
    <t>Beveley</t>
  </si>
  <si>
    <t>Big Bull</t>
  </si>
  <si>
    <t>Chieftain Metals</t>
  </si>
  <si>
    <t>Tech Rep (2010-11)</t>
  </si>
  <si>
    <t>Big Ledge</t>
  </si>
  <si>
    <t>Min Deps Canada 2007 Goodfellow &amp; Lydon</t>
  </si>
  <si>
    <t>Big Showing (Teddy Glacier)</t>
  </si>
  <si>
    <t>Jazz Resources</t>
  </si>
  <si>
    <t>Blende</t>
  </si>
  <si>
    <t>Blind Creek Resources (formerly Eagle Plains Res.)</t>
  </si>
  <si>
    <t>Tech Rep (2007-08)</t>
  </si>
  <si>
    <t>Bobby's Pond</t>
  </si>
  <si>
    <t>Mountain Lake Resources</t>
  </si>
  <si>
    <t>Tech Rep (2008-09)</t>
  </si>
  <si>
    <t>Boomerang-Domino (Tulks South)</t>
  </si>
  <si>
    <t>Canadian Zinc Corp</t>
  </si>
  <si>
    <t>Bowler Creek</t>
  </si>
  <si>
    <t>Brabant Lake</t>
  </si>
  <si>
    <t>Manicougan Minerals</t>
  </si>
  <si>
    <t>Bracemac-McLeod</t>
  </si>
  <si>
    <t>Brandywine-Silver Tunnel-Northair</t>
  </si>
  <si>
    <t>Buckton-Buckton South</t>
  </si>
  <si>
    <t>Shale-hosted</t>
  </si>
  <si>
    <t>DNI Metals</t>
  </si>
  <si>
    <t>Tech Rep (2014-01)</t>
  </si>
  <si>
    <t>%TREO+Y; 10.9 g/t Sc, 70.2 g/t Li</t>
  </si>
  <si>
    <t>Cadieux</t>
  </si>
  <si>
    <t>(see Gatineau, Midland Expl'n)</t>
  </si>
  <si>
    <t>Caledonia</t>
  </si>
  <si>
    <t>BC OFR (1998-10), MINFILE 092L-061</t>
  </si>
  <si>
    <t>Caribou</t>
  </si>
  <si>
    <t>Trevali Mining Corp.</t>
  </si>
  <si>
    <t>Cassiar Camp</t>
  </si>
  <si>
    <t>Skarn-Manto</t>
  </si>
  <si>
    <t>Chester</t>
  </si>
  <si>
    <t>Explor Resources</t>
  </si>
  <si>
    <t>Chu Chua</t>
  </si>
  <si>
    <t>Reva Resources</t>
  </si>
  <si>
    <t>Cirque-South Cirque</t>
  </si>
  <si>
    <t>Teck Resources-50%, Korea Zinc-50%</t>
  </si>
  <si>
    <t>(Canada Zinc Metals; Tech Rep 2012-05 Pie)</t>
  </si>
  <si>
    <t>CK</t>
  </si>
  <si>
    <t>Clark</t>
  </si>
  <si>
    <t>Skarn-manto</t>
  </si>
  <si>
    <t>Yukon Gov't Zn profile</t>
  </si>
  <si>
    <t>Clear Lake</t>
  </si>
  <si>
    <t>Golden Predator (formerly Redtail Metals)</t>
  </si>
  <si>
    <t>Tech Rep (2010-02)</t>
  </si>
  <si>
    <t>Colby (Kingfisher-Noreen)</t>
  </si>
  <si>
    <t>Rich River Exploration (?)</t>
  </si>
  <si>
    <t>Corp Brochure</t>
  </si>
  <si>
    <t>Comstock (Canada)</t>
  </si>
  <si>
    <t>Copper Crown</t>
  </si>
  <si>
    <t>Cottonbelt</t>
  </si>
  <si>
    <t>Coulon</t>
  </si>
  <si>
    <t>Virginia Mines Inc</t>
  </si>
  <si>
    <t>Tech Rep (2009-05)</t>
  </si>
  <si>
    <t>Craig</t>
  </si>
  <si>
    <t>Glencore Xstrata (?)</t>
  </si>
  <si>
    <t>Cronin</t>
  </si>
  <si>
    <t>Damascus</t>
  </si>
  <si>
    <t>Gold Reach Resources</t>
  </si>
  <si>
    <t>Website (2016-07-11)</t>
  </si>
  <si>
    <t>Darcy</t>
  </si>
  <si>
    <t>Darin</t>
  </si>
  <si>
    <t>DEB</t>
  </si>
  <si>
    <t>Seabridge Gold (?)</t>
  </si>
  <si>
    <t>De Maurès</t>
  </si>
  <si>
    <t>Vior Expl. &amp; Mining website (2014-07-27)</t>
  </si>
  <si>
    <t>Domergue-Anomaly E</t>
  </si>
  <si>
    <t>Driftpile Creek</t>
  </si>
  <si>
    <t>Teck Resources</t>
  </si>
  <si>
    <t>Duck Pond</t>
  </si>
  <si>
    <t>Teck</t>
  </si>
  <si>
    <t>Duncan</t>
  </si>
  <si>
    <t>BC Geol Surv</t>
  </si>
  <si>
    <t>Duthie</t>
  </si>
  <si>
    <t>East Kemptville</t>
  </si>
  <si>
    <t>Skarn (Greisen)</t>
  </si>
  <si>
    <t>Avalon Rare Metals</t>
  </si>
  <si>
    <t>Factsheet</t>
  </si>
  <si>
    <t>Eclipse</t>
  </si>
  <si>
    <t>Geol Innuit 1991</t>
  </si>
  <si>
    <t>Ecstall</t>
  </si>
  <si>
    <t>Atna Resources</t>
  </si>
  <si>
    <t>Ericksen-Ashby</t>
  </si>
  <si>
    <t>Errington</t>
  </si>
  <si>
    <t>Esker</t>
  </si>
  <si>
    <t>Min Deps Canada 2007 Paradis et al</t>
  </si>
  <si>
    <t>Estrades-Caribou</t>
  </si>
  <si>
    <t>Cogitore Resources</t>
  </si>
  <si>
    <t>Tech Rep (2008-12)</t>
  </si>
  <si>
    <t>Explo-Zinc (Kistabiche)</t>
  </si>
  <si>
    <t>Ann Info Form 2008</t>
  </si>
  <si>
    <t>Faro</t>
  </si>
  <si>
    <t>Fault Creek</t>
  </si>
  <si>
    <t>Fyre Lake Tech Rep (Pacific Ridge)</t>
  </si>
  <si>
    <t>Fireweed</t>
  </si>
  <si>
    <t>Regulus Resources (formerly Jandar Res.)</t>
  </si>
  <si>
    <t>Tech Rep (2006-03; Jandar Res.)</t>
  </si>
  <si>
    <t>Gayna River</t>
  </si>
  <si>
    <t>unknown (Eagle Plains Res.??)</t>
  </si>
  <si>
    <t>George Lake</t>
  </si>
  <si>
    <t>unknown (formerly Golden Arch Resources?)</t>
  </si>
  <si>
    <t>Tech Rep (2007-04)</t>
  </si>
  <si>
    <t>Goz Creek (Barrier Reef)</t>
  </si>
  <si>
    <t>GP4F</t>
  </si>
  <si>
    <t>Shaanxi Non-ferrous Metals Holding Group Co Ltd</t>
  </si>
  <si>
    <t>Gray Rock</t>
  </si>
  <si>
    <t>Grizzly (Dy)</t>
  </si>
  <si>
    <t>Groundhog (Jeff-Lorne)</t>
  </si>
  <si>
    <t>unknown (Prism Reosurces?)</t>
  </si>
  <si>
    <t>Grum</t>
  </si>
  <si>
    <t>H.B.</t>
  </si>
  <si>
    <t>Hackett River</t>
  </si>
  <si>
    <t>Halfmile Lake</t>
  </si>
  <si>
    <t>Tech Rep (2011-08)</t>
  </si>
  <si>
    <t>Hart River</t>
  </si>
  <si>
    <t>High Lake</t>
  </si>
  <si>
    <t>Holliday</t>
  </si>
  <si>
    <t>Homestake</t>
  </si>
  <si>
    <t>Horne 5</t>
  </si>
  <si>
    <t>Falco Resources</t>
  </si>
  <si>
    <t>Tech Rep (2014-05)</t>
  </si>
  <si>
    <t>Howard's Pass-Anniv Group</t>
  </si>
  <si>
    <t>Chihong Canada Mining (formerly Selwyn Resources)</t>
  </si>
  <si>
    <t>Ann Info Form 2012</t>
  </si>
  <si>
    <t>Howard's Pass-Brodel</t>
  </si>
  <si>
    <t>Howard's Pass-Don Group</t>
  </si>
  <si>
    <t>Howard's Pass-HC Group</t>
  </si>
  <si>
    <t>Howard's Pass-HP</t>
  </si>
  <si>
    <t>Howard's Pass-OP Group</t>
  </si>
  <si>
    <t>Howard's Pass-Pelly North</t>
  </si>
  <si>
    <t>Howard's Pass-XY Group</t>
  </si>
  <si>
    <t>Hudson Bay Mountain-Silver Lake 2</t>
  </si>
  <si>
    <t>Lions Gate Metals</t>
  </si>
  <si>
    <t>Tech Rep (2005-04)</t>
  </si>
  <si>
    <t>Hudson Bay-777</t>
  </si>
  <si>
    <t>HudBay Minerals</t>
  </si>
  <si>
    <t>Hudson Bay-Bur</t>
  </si>
  <si>
    <t>Tech Rep (2008-01)</t>
  </si>
  <si>
    <t>Hudson Bay-Lalor</t>
  </si>
  <si>
    <t>Hudson Bay-Reed</t>
  </si>
  <si>
    <t>HudBay Minerals-70%, VMS Ventures-30%</t>
  </si>
  <si>
    <t>Hudson Bay-Watts River</t>
  </si>
  <si>
    <t>Hudvam</t>
  </si>
  <si>
    <t>Murgor Resources</t>
  </si>
  <si>
    <t>Tech Rep (2008-10)</t>
  </si>
  <si>
    <t>Indian Mountain (BB Lake-Kennedy Lake)</t>
  </si>
  <si>
    <t>Panarc Resources</t>
  </si>
  <si>
    <t>Brochure</t>
  </si>
  <si>
    <t>Inel (AK)</t>
  </si>
  <si>
    <t>Skarn?</t>
  </si>
  <si>
    <t>Snip Gold Corp</t>
  </si>
  <si>
    <t>Izok Lake</t>
  </si>
  <si>
    <t>J&amp;L (Main Zone-Yellowknife-Yellowjacket)</t>
  </si>
  <si>
    <t>Huakan International Mining</t>
  </si>
  <si>
    <t>Tech Rep (2012-04)</t>
  </si>
  <si>
    <t>Jason</t>
  </si>
  <si>
    <t>Website (2014-10-26)</t>
  </si>
  <si>
    <t>Jersey</t>
  </si>
  <si>
    <t>Jonpol</t>
  </si>
  <si>
    <t>VMS?</t>
  </si>
  <si>
    <t>Jubilee</t>
  </si>
  <si>
    <t>Merrex Gold</t>
  </si>
  <si>
    <t>Tech Rep (2009-02)</t>
  </si>
  <si>
    <t>Keg Main Zone</t>
  </si>
  <si>
    <t>Skarn-epithermal</t>
  </si>
  <si>
    <t>Original skarn with epithermal overprint</t>
  </si>
  <si>
    <t>Silver Range Resources</t>
  </si>
  <si>
    <t>Tech Rep (2013-05)</t>
  </si>
  <si>
    <t>Kennedy Lake-BB Zone</t>
  </si>
  <si>
    <t>unknown (Axmin Inc??)</t>
  </si>
  <si>
    <t>Keno Hill-Bellekeno</t>
  </si>
  <si>
    <t>Alexco Resource Corp.</t>
  </si>
  <si>
    <t>Tech Rep (2013-12)</t>
  </si>
  <si>
    <t>Keno Hill-Flame/Moth</t>
  </si>
  <si>
    <t>Tech Rep (2013-03)</t>
  </si>
  <si>
    <t>Keno Hill-Lucky Queen</t>
  </si>
  <si>
    <t>Keno Hill-Onek</t>
  </si>
  <si>
    <t>Tech Rep (2011-09)</t>
  </si>
  <si>
    <t>Kidd Creek</t>
  </si>
  <si>
    <t>Kitsault (Mo)</t>
  </si>
  <si>
    <t>Porphyry Mo</t>
  </si>
  <si>
    <t>Avanti Mining</t>
  </si>
  <si>
    <t>Tech Rep (2014-03)</t>
  </si>
  <si>
    <t>Kitsault River-Torbrit</t>
  </si>
  <si>
    <t>Kitsault River-Wolf</t>
  </si>
  <si>
    <t>Klaza-BRX</t>
  </si>
  <si>
    <t>Rockhaven Resources</t>
  </si>
  <si>
    <t>Tech Rep (2015-01)</t>
  </si>
  <si>
    <t>Kokanee (Scranton/Sunset)</t>
  </si>
  <si>
    <t>Kootenay King</t>
  </si>
  <si>
    <t>Kudz Ze Kayah (ABM)</t>
  </si>
  <si>
    <t>Ann Info Form 2005</t>
  </si>
  <si>
    <t>Kutcho</t>
  </si>
  <si>
    <t>Capstone Mining</t>
  </si>
  <si>
    <t>La Ronde</t>
  </si>
  <si>
    <t>Agnico Eagle Mines</t>
  </si>
  <si>
    <t>Lafontaine</t>
  </si>
  <si>
    <t>Langlois</t>
  </si>
  <si>
    <t>Nyrstar</t>
  </si>
  <si>
    <t>Lara-Coronation Trend</t>
  </si>
  <si>
    <t>Treasury Metals</t>
  </si>
  <si>
    <t>Leitch</t>
  </si>
  <si>
    <t>Lemarchant-South Tally Pond</t>
  </si>
  <si>
    <t>Tech Rep (2012-03)</t>
  </si>
  <si>
    <t>Lenora (L.35G)</t>
  </si>
  <si>
    <t>Lessard</t>
  </si>
  <si>
    <t>Landore Resources</t>
  </si>
  <si>
    <t>Linda 2-RLM</t>
  </si>
  <si>
    <t>Thundermin Resources</t>
  </si>
  <si>
    <t>Logan</t>
  </si>
  <si>
    <t>Yukon Zinc Corp</t>
  </si>
  <si>
    <t>Company Fact Sheet (2014-06)</t>
  </si>
  <si>
    <t>Long Lake</t>
  </si>
  <si>
    <t>Lundberg-Engine</t>
  </si>
  <si>
    <t>Minco Silver</t>
  </si>
  <si>
    <t>Lustdust (Canyon Creek)</t>
  </si>
  <si>
    <t>ALQ Gold Corp</t>
  </si>
  <si>
    <t>Magusi River</t>
  </si>
  <si>
    <t>Globex Mining</t>
  </si>
  <si>
    <t>Marg</t>
  </si>
  <si>
    <t>Tech Rep (2011-06)</t>
  </si>
  <si>
    <t>Matt Berry (Barb)</t>
  </si>
  <si>
    <t>Website (2016-02-04)</t>
  </si>
  <si>
    <t>McIlvenna Bay</t>
  </si>
  <si>
    <t>Foran Mining Corp</t>
  </si>
  <si>
    <t>Tech Rep (from media 2013-03-27)</t>
  </si>
  <si>
    <t>McMillan</t>
  </si>
  <si>
    <t>Mel</t>
  </si>
  <si>
    <t>Tech Rep (2014-11)</t>
  </si>
  <si>
    <t>Mineral King</t>
  </si>
  <si>
    <t>Ming-Rambler</t>
  </si>
  <si>
    <t>Noranda-type</t>
  </si>
  <si>
    <t>Rambler Metals &amp; Mining</t>
  </si>
  <si>
    <t>Tech Rep (2015-11)</t>
  </si>
  <si>
    <t>Miya-Emerald Glacier</t>
  </si>
  <si>
    <t>Monarch-Kicking Horse</t>
  </si>
  <si>
    <t>Mt Pleasant (North Zone)</t>
  </si>
  <si>
    <t>Sn-W-Mo</t>
  </si>
  <si>
    <t>Adex Mining</t>
  </si>
  <si>
    <t>%Bi</t>
  </si>
  <si>
    <t>Murray Brook</t>
  </si>
  <si>
    <t>Votorantim Metais, El Nino</t>
  </si>
  <si>
    <t>Myra Falls</t>
  </si>
  <si>
    <t>Nanisivik</t>
  </si>
  <si>
    <t>Nash Creek</t>
  </si>
  <si>
    <t>Slam Resources</t>
  </si>
  <si>
    <t>Nepisiguit</t>
  </si>
  <si>
    <t>Tech Rep (2012-07)</t>
  </si>
  <si>
    <t>New Moon</t>
  </si>
  <si>
    <t>Northaven Resources Corp (?)</t>
  </si>
  <si>
    <t>Ox-C</t>
  </si>
  <si>
    <t>Packsack</t>
  </si>
  <si>
    <t>PD1</t>
  </si>
  <si>
    <t>Peak</t>
  </si>
  <si>
    <t>Grizzly Discoveries</t>
  </si>
  <si>
    <t>Peso (Rex)</t>
  </si>
  <si>
    <t>Intrusion-related</t>
  </si>
  <si>
    <t>unknown (Victoria Gold Corp?)</t>
  </si>
  <si>
    <t>Pick Lake</t>
  </si>
  <si>
    <t>Golden Share Mining Corp</t>
  </si>
  <si>
    <t>Tech Rep (2013-06)</t>
  </si>
  <si>
    <t>Pine Point Group</t>
  </si>
  <si>
    <t>Tamerlane Ventures</t>
  </si>
  <si>
    <t>Plata</t>
  </si>
  <si>
    <t>Point Leamington</t>
  </si>
  <si>
    <t>Newmarket Gold</t>
  </si>
  <si>
    <t>Tech Rep (2013-09)</t>
  </si>
  <si>
    <t>Polaris</t>
  </si>
  <si>
    <t>Porter-Idaho</t>
  </si>
  <si>
    <t>Portland Canal</t>
  </si>
  <si>
    <t>Prairie Creek</t>
  </si>
  <si>
    <t>Canadian Zinc Corp.</t>
  </si>
  <si>
    <t>Tech Rep (2012-06)</t>
  </si>
  <si>
    <t>Premier Camp</t>
  </si>
  <si>
    <t>Rea / Extra High</t>
  </si>
  <si>
    <t>37 Capitral</t>
  </si>
  <si>
    <t>Tech Rep (2008-02)</t>
  </si>
  <si>
    <t>Red Bird</t>
  </si>
  <si>
    <t>Remac</t>
  </si>
  <si>
    <t>Ribago</t>
  </si>
  <si>
    <t>River Jordan</t>
  </si>
  <si>
    <t>Silver Phoenix Resources</t>
  </si>
  <si>
    <t>Robb Lake (Barrier)</t>
  </si>
  <si>
    <t>BC MINFILE 094B 005</t>
  </si>
  <si>
    <t>Rochon Lake</t>
  </si>
  <si>
    <t>Rock and Roll</t>
  </si>
  <si>
    <t>Pacific North West Capital</t>
  </si>
  <si>
    <t>Tech Rep (2011-02)</t>
  </si>
  <si>
    <t>Romer-Frederickson Lake</t>
  </si>
  <si>
    <t>Tech Rep (2014-02)</t>
  </si>
  <si>
    <t>Romer-Jimmick Lake</t>
  </si>
  <si>
    <t>Romer-Koke</t>
  </si>
  <si>
    <t>Romer-Soucy #1</t>
  </si>
  <si>
    <t>Ruddock Creek</t>
  </si>
  <si>
    <t>Imperial Metals Corp.</t>
  </si>
  <si>
    <t>see also Silver Phoenix (River Jordan), Selkirk Metals ??</t>
  </si>
  <si>
    <t>Ruth-Vermont</t>
  </si>
  <si>
    <t>Jasper Mining</t>
  </si>
  <si>
    <t>Ruttan</t>
  </si>
  <si>
    <t>Sä Dena Hes (Mt Hundere)</t>
  </si>
  <si>
    <t>JDS Silver</t>
  </si>
  <si>
    <t>Ann Info Form 2005 (Teck)</t>
  </si>
  <si>
    <t>Salerno Lake</t>
  </si>
  <si>
    <t>Salmo</t>
  </si>
  <si>
    <t>Scotia (BC)</t>
  </si>
  <si>
    <t>Scotia-Gays River</t>
  </si>
  <si>
    <t>Selwyn Resources</t>
  </si>
  <si>
    <t>Scotia-Getty</t>
  </si>
  <si>
    <t>Scott Lake</t>
  </si>
  <si>
    <t>Tech Rep (2011-07)</t>
  </si>
  <si>
    <t>Seneca</t>
  </si>
  <si>
    <t>Sherridon (Cold-Lost-Bob-Jungle)</t>
  </si>
  <si>
    <t>Sendero Mining Corp (formerly Halo Resources)</t>
  </si>
  <si>
    <t>Silver Coin</t>
  </si>
  <si>
    <t>Jayden Resources</t>
  </si>
  <si>
    <t>Tech Rep (2013-08)</t>
  </si>
  <si>
    <t>Silver Hart</t>
  </si>
  <si>
    <t>CMC Metals</t>
  </si>
  <si>
    <t>Tech Rep (2010-01)</t>
  </si>
  <si>
    <t>Silver King (Ymir)</t>
  </si>
  <si>
    <t>Silver Queen (Cole Lake)</t>
  </si>
  <si>
    <t>New Nadina Exploration</t>
  </si>
  <si>
    <t>Tech Rep (1996-02)</t>
  </si>
  <si>
    <t>Silver Queen (Wrinch)</t>
  </si>
  <si>
    <t>Silvertip (Midway)</t>
  </si>
  <si>
    <t>Tech Rep (2002-10; Silver Standard)</t>
  </si>
  <si>
    <t>Sito East</t>
  </si>
  <si>
    <t>Steadman &amp; Spry 2015</t>
  </si>
  <si>
    <t>Skidder</t>
  </si>
  <si>
    <t>Website (2014-10-31)</t>
  </si>
  <si>
    <t>Slocan Group</t>
  </si>
  <si>
    <t>Smith Copper</t>
  </si>
  <si>
    <t>Spar</t>
  </si>
  <si>
    <t>%Sr</t>
  </si>
  <si>
    <t>Stannex-Woolsey</t>
  </si>
  <si>
    <t>Northavn Resources Corp</t>
  </si>
  <si>
    <t>Stemwinder</t>
  </si>
  <si>
    <t>Stratmat</t>
  </si>
  <si>
    <t>Sullivan</t>
  </si>
  <si>
    <t>Summit</t>
  </si>
  <si>
    <t>Sunrise Lake</t>
  </si>
  <si>
    <t>Swim</t>
  </si>
  <si>
    <t>Yukon Gov't Zn profile; PorterGeo</t>
  </si>
  <si>
    <t>Tetagouche-Armstrong A/B</t>
  </si>
  <si>
    <t>Wolfden Resources Corp</t>
  </si>
  <si>
    <t>Tetagouche-Canoe Landing Lake</t>
  </si>
  <si>
    <t>Tetagouche-Rocky Turn</t>
  </si>
  <si>
    <t>Tinta Hill</t>
  </si>
  <si>
    <t>Northern Freegold Resources</t>
  </si>
  <si>
    <t>Tech Rep (2009-08)</t>
  </si>
  <si>
    <t>Tintina (Eagle)</t>
  </si>
  <si>
    <t>Thor</t>
  </si>
  <si>
    <t>Taranis Resources</t>
  </si>
  <si>
    <t>Tech Rep (213-08)</t>
  </si>
  <si>
    <t>Tom</t>
  </si>
  <si>
    <t>Tortigny</t>
  </si>
  <si>
    <t>VMS-associated or SEDEX</t>
  </si>
  <si>
    <t>Beaufield Resources</t>
  </si>
  <si>
    <t>Treasure Mountain</t>
  </si>
  <si>
    <t>Huldra Silver</t>
  </si>
  <si>
    <t>Trout Lake Camp</t>
  </si>
  <si>
    <t>Tulsequah Chief</t>
  </si>
  <si>
    <t>Upton</t>
  </si>
  <si>
    <t>Val</t>
  </si>
  <si>
    <t>Sediment-hosted U</t>
  </si>
  <si>
    <t>Basal U mineralisation</t>
  </si>
  <si>
    <t>Vangorda</t>
  </si>
  <si>
    <t>Vendôme (Mogador)</t>
  </si>
  <si>
    <t>Vera</t>
  </si>
  <si>
    <t>Vermilion</t>
  </si>
  <si>
    <t>Vine 1</t>
  </si>
  <si>
    <t>PJX Resources</t>
  </si>
  <si>
    <t>Virginia Silver</t>
  </si>
  <si>
    <t>Walton</t>
  </si>
  <si>
    <t>Nova Scotia MinFile 2008</t>
  </si>
  <si>
    <t>West Ansil</t>
  </si>
  <si>
    <t>Falco Resources, Glencore Xstrata</t>
  </si>
  <si>
    <t>Wim</t>
  </si>
  <si>
    <t>Wolf (Hasselberg)</t>
  </si>
  <si>
    <t>Wolverine (Fetish)</t>
  </si>
  <si>
    <t>Tech Rep (2007-10)</t>
  </si>
  <si>
    <t>Wrigley</t>
  </si>
  <si>
    <t>Devonian Metals</t>
  </si>
  <si>
    <t>Yava</t>
  </si>
  <si>
    <t>Savant Explorations</t>
  </si>
  <si>
    <t>Cachinal</t>
  </si>
  <si>
    <t>Chile</t>
  </si>
  <si>
    <t>Apogee Minerals, Valencia Ventures</t>
  </si>
  <si>
    <t>Tech Rep (2010-04)</t>
  </si>
  <si>
    <t>El Toqui</t>
  </si>
  <si>
    <t>Manto</t>
  </si>
  <si>
    <t>Porphyry-IOCG?</t>
  </si>
  <si>
    <t>Minera Florida</t>
  </si>
  <si>
    <t>Yamana Gold</t>
  </si>
  <si>
    <t>Paguanta-Patricia</t>
  </si>
  <si>
    <t>Herencia Resources</t>
  </si>
  <si>
    <t>Vallecillo-La Colorada</t>
  </si>
  <si>
    <t>Cu-Au-Ag-Zn</t>
  </si>
  <si>
    <t>Metminco</t>
  </si>
  <si>
    <t>Website (2016-06-25)</t>
  </si>
  <si>
    <t>Aerhada</t>
  </si>
  <si>
    <t>China</t>
  </si>
  <si>
    <t>Shanjinaerhada Mining</t>
  </si>
  <si>
    <t>ILZSG database (2016-03-02)</t>
  </si>
  <si>
    <t>Baiyinnour</t>
  </si>
  <si>
    <t>Chifeng Nonferrous Metals Corp</t>
  </si>
  <si>
    <t>ILZSG database; CNMI website</t>
  </si>
  <si>
    <t>Beiya</t>
  </si>
  <si>
    <t>Yunnan Gold Mining Group?</t>
  </si>
  <si>
    <t>Zhou et al (2016)</t>
  </si>
  <si>
    <t>BYP</t>
  </si>
  <si>
    <t>Silvercorp Metals</t>
  </si>
  <si>
    <t>Caijiaying</t>
  </si>
  <si>
    <t>Griffin Mining</t>
  </si>
  <si>
    <t>Changba-Lijiagou</t>
  </si>
  <si>
    <t>Baiyin Nonferrous</t>
  </si>
  <si>
    <t>ILZSG database (2016-07-12)</t>
  </si>
  <si>
    <t>Dakuangshan</t>
  </si>
  <si>
    <t>China Polymetallic Mining</t>
  </si>
  <si>
    <t>Fuwan-Changkeng</t>
  </si>
  <si>
    <t>Huangshaping</t>
  </si>
  <si>
    <t>Li et al (2016)</t>
  </si>
  <si>
    <t>Huayuan Fenghuang</t>
  </si>
  <si>
    <t>Inner Mongolia Sanguikou</t>
  </si>
  <si>
    <t>Zijin Mining</t>
  </si>
  <si>
    <t>Jiama</t>
  </si>
  <si>
    <t>Porphyry with skarn</t>
  </si>
  <si>
    <t>China Gold International Resources Corp</t>
  </si>
  <si>
    <t>Jiawula</t>
  </si>
  <si>
    <t>Naneco Minerals, Vina Mineral Res, Hullunbeir</t>
  </si>
  <si>
    <t>Liziping</t>
  </si>
  <si>
    <t>Menghu</t>
  </si>
  <si>
    <t>Mengya</t>
  </si>
  <si>
    <t>MCC</t>
  </si>
  <si>
    <t>Nonggeshan</t>
  </si>
  <si>
    <t>MCC JV</t>
  </si>
  <si>
    <t>Tech Rep (2009-07)</t>
  </si>
  <si>
    <t>Qiandongshan</t>
  </si>
  <si>
    <t>Marshall Minerals, CNMI, Quinsun</t>
  </si>
  <si>
    <t>Qinghai Deerni</t>
  </si>
  <si>
    <t>Shizishan</t>
  </si>
  <si>
    <t>Xietongmen</t>
  </si>
  <si>
    <t>Continental Minerals</t>
  </si>
  <si>
    <t>Xinjiang Ashele</t>
  </si>
  <si>
    <t>Xinjiang Wulugentashi</t>
  </si>
  <si>
    <t>Ying Group</t>
  </si>
  <si>
    <t>with Orogenic Au</t>
  </si>
  <si>
    <t>Tech Rep (2014-07)</t>
  </si>
  <si>
    <t>Berlin</t>
  </si>
  <si>
    <t>Columbia</t>
  </si>
  <si>
    <t>Sediment-hosted mixed</t>
  </si>
  <si>
    <t>U3O8 Corp</t>
  </si>
  <si>
    <t>MDA 2011</t>
  </si>
  <si>
    <t>%P2O4, 497 g/t Y, 101 g/t Nd, 6.9 g/t Re, 37.3 %CaF2</t>
  </si>
  <si>
    <t>Matahambre</t>
  </si>
  <si>
    <t>Cuba</t>
  </si>
  <si>
    <t>Victoria</t>
  </si>
  <si>
    <t>Russell et al (undated)</t>
  </si>
  <si>
    <t>Santa Lucia Castellanos</t>
  </si>
  <si>
    <t>Trafigura</t>
  </si>
  <si>
    <t>Kipushi</t>
  </si>
  <si>
    <t>Dem. Rep. Congo</t>
  </si>
  <si>
    <t>Ivanhoe Mines</t>
  </si>
  <si>
    <t>Tech Rep (2012-09)</t>
  </si>
  <si>
    <r>
      <t/>
    </r>
    <r>
      <rPr>
        <sz val="10"/>
        <color rgb="FF000000"/>
        <rFont val="Arial"/>
        <family val="2"/>
      </rPr>
      <t xml:space="preserve">Sable Zinc Kabwe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</si>
  <si>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Sediment-hosted Pb-Zn </t>
    </r>
    <r>
      <rPr>
        <b/>
        <sz val="10"/>
        <color rgb="FFff0000"/>
        <rFont val="Arial"/>
        <family val="2"/>
      </rPr>
      <t>Tailings</t>
    </r>
  </si>
  <si>
    <t>formerly Metorex</t>
  </si>
  <si>
    <t>Ann Rep 2010</t>
  </si>
  <si>
    <t>Bayaguana Group</t>
  </si>
  <si>
    <t>Dom. Rep.</t>
  </si>
  <si>
    <t>Perilya</t>
  </si>
  <si>
    <t>Tech Rep (2006-01)</t>
  </si>
  <si>
    <t>Cerro de Maimón</t>
  </si>
  <si>
    <t>Las Animas</t>
  </si>
  <si>
    <t>GoldQuest Mining Corp</t>
  </si>
  <si>
    <t>Romero-Romero South</t>
  </si>
  <si>
    <t>Intermediate sulfidation</t>
  </si>
  <si>
    <t>Curipamba-El Domo</t>
  </si>
  <si>
    <t>Ecuador</t>
  </si>
  <si>
    <t>Salazar Resources</t>
  </si>
  <si>
    <t>Abu Marawat</t>
  </si>
  <si>
    <t>Egypt</t>
  </si>
  <si>
    <t>Alexander Nubia</t>
  </si>
  <si>
    <t>Umm Gheig</t>
  </si>
  <si>
    <t>Asmara-Adi Nefas</t>
  </si>
  <si>
    <t>Eritrea</t>
  </si>
  <si>
    <t>Sunridge Gold Corp</t>
  </si>
  <si>
    <t>Asmara-Debarwa</t>
  </si>
  <si>
    <t>Asmara-Emba Derho</t>
  </si>
  <si>
    <t>Bisha</t>
  </si>
  <si>
    <t>Nevsun Resources</t>
  </si>
  <si>
    <t>Hambok</t>
  </si>
  <si>
    <t>Harena</t>
  </si>
  <si>
    <t>Northwest</t>
  </si>
  <si>
    <t>Huatalampi</t>
  </si>
  <si>
    <t>Finland</t>
  </si>
  <si>
    <t>Altona Mining</t>
  </si>
  <si>
    <t>Kainuu-Rautavaara</t>
  </si>
  <si>
    <t>FinnAust Mining (Magnus Minerals-Western Areas)</t>
  </si>
  <si>
    <t>Kettukumpu</t>
  </si>
  <si>
    <t>Geol Survey Finland</t>
  </si>
  <si>
    <t>Kylylahti</t>
  </si>
  <si>
    <t>Perttilahti</t>
  </si>
  <si>
    <t>Pyhäsalmi</t>
  </si>
  <si>
    <t>First Quantum</t>
  </si>
  <si>
    <t>Rauhala</t>
  </si>
  <si>
    <t>Rautavaara</t>
  </si>
  <si>
    <t>FinnAust Mining (formerly Western Areas, Magnus Minerals)</t>
  </si>
  <si>
    <t>Website (10-01-2013) (FinnAust Mining)</t>
  </si>
  <si>
    <t>Riihilahti</t>
  </si>
  <si>
    <t>Saramäki</t>
  </si>
  <si>
    <t>Sykäräinen</t>
  </si>
  <si>
    <t>Talvivaara (Kolmisoppi/Kuusilampi)</t>
  </si>
  <si>
    <t>Talvivaara</t>
  </si>
  <si>
    <t>Vuonos</t>
  </si>
  <si>
    <t>Arrens</t>
  </si>
  <si>
    <t>France</t>
  </si>
  <si>
    <t>Trèves</t>
  </si>
  <si>
    <t>Amtkeli</t>
  </si>
  <si>
    <t>Georgia</t>
  </si>
  <si>
    <t>NATO Sci 2002 v17</t>
  </si>
  <si>
    <t>Brdzyshra</t>
  </si>
  <si>
    <t>Dambludi</t>
  </si>
  <si>
    <t>High sulphidation</t>
  </si>
  <si>
    <t>0.017 %Bi, 0.03 %Cd</t>
  </si>
  <si>
    <t>David Garedji</t>
  </si>
  <si>
    <t>Kvaisi</t>
  </si>
  <si>
    <t>Madneuli</t>
  </si>
  <si>
    <t>NATO Sci 2002 v17; Migineishvili 2005</t>
  </si>
  <si>
    <t>7.6 g/t Te, 7.1 g/t Se</t>
  </si>
  <si>
    <t>Merisi Group</t>
  </si>
  <si>
    <t>Razdarankom</t>
  </si>
  <si>
    <t>Rtskhmeluri</t>
  </si>
  <si>
    <t>Skatykom</t>
  </si>
  <si>
    <t>Zeshko</t>
  </si>
  <si>
    <t>May also be Sedex?</t>
  </si>
  <si>
    <t>Tellerhäuser</t>
  </si>
  <si>
    <t>Germany</t>
  </si>
  <si>
    <t>Anglo Saxony Mining</t>
  </si>
  <si>
    <t>Website (2015-12-28)</t>
  </si>
  <si>
    <t>Geyer Southwest</t>
  </si>
  <si>
    <t>Tin International (Deutchse Rohstoff)</t>
  </si>
  <si>
    <t>Olympias</t>
  </si>
  <si>
    <t>Greece</t>
  </si>
  <si>
    <t>Eldorado Gold</t>
  </si>
  <si>
    <t>Form-40F 2013</t>
  </si>
  <si>
    <t>Stratoni</t>
  </si>
  <si>
    <t>Ark</t>
  </si>
  <si>
    <t>Greenland</t>
  </si>
  <si>
    <t>Angel Mining</t>
  </si>
  <si>
    <t>Conf. Pres. 2011-11</t>
  </si>
  <si>
    <t>Black Angel</t>
  </si>
  <si>
    <t>Blyklippen</t>
  </si>
  <si>
    <t>Thomassen (2005)</t>
  </si>
  <si>
    <t>Citronen</t>
  </si>
  <si>
    <t>Ann Rep 2013-14</t>
  </si>
  <si>
    <t>Kvanefjeld</t>
  </si>
  <si>
    <t>Magmatic Alkaline Intrusive</t>
  </si>
  <si>
    <t>Layered alkaline complex</t>
  </si>
  <si>
    <t>Greenland Energy &amp; Minerals</t>
  </si>
  <si>
    <t>%TREO</t>
  </si>
  <si>
    <t>Nunngarut</t>
  </si>
  <si>
    <t>South Lakes</t>
  </si>
  <si>
    <t>Holly-Banderas (HB)-Escobal</t>
  </si>
  <si>
    <t>Guatemala</t>
  </si>
  <si>
    <t>Radius Gold</t>
  </si>
  <si>
    <t>Torlon Hill</t>
  </si>
  <si>
    <t xml:space="preserve">Oxide Zinc - IOCG? </t>
  </si>
  <si>
    <t>Firestone Ventures</t>
  </si>
  <si>
    <t>El Mochito</t>
  </si>
  <si>
    <t>Honduras</t>
  </si>
  <si>
    <t>Ajari</t>
  </si>
  <si>
    <t>India</t>
  </si>
  <si>
    <t>Indo Gold</t>
  </si>
  <si>
    <t>Ambaji</t>
  </si>
  <si>
    <t>RBG Minerals (Binani Industries)</t>
  </si>
  <si>
    <t>Ambamata</t>
  </si>
  <si>
    <t>Askot</t>
  </si>
  <si>
    <t>Pebble Creek Mining</t>
  </si>
  <si>
    <t>Bajta Central</t>
  </si>
  <si>
    <t>Ballaria</t>
  </si>
  <si>
    <t>Bamnai Kalan</t>
  </si>
  <si>
    <t>Hindustan Zinc / Vedanta</t>
  </si>
  <si>
    <t>Baroi</t>
  </si>
  <si>
    <t>Basantgarh</t>
  </si>
  <si>
    <t>Bethumni</t>
  </si>
  <si>
    <t>Bhilwara</t>
  </si>
  <si>
    <t>IMYB 2013</t>
  </si>
  <si>
    <t>Danva</t>
  </si>
  <si>
    <t>Deri</t>
  </si>
  <si>
    <t>Devpura</t>
  </si>
  <si>
    <t>Ganeshpura</t>
  </si>
  <si>
    <t>Gorubathan</t>
  </si>
  <si>
    <t>Kalabar</t>
  </si>
  <si>
    <t>Kankariya</t>
  </si>
  <si>
    <t>Kayad</t>
  </si>
  <si>
    <t>Kolari</t>
  </si>
  <si>
    <t>Madarpura</t>
  </si>
  <si>
    <t>Mochia</t>
  </si>
  <si>
    <t>Mokanpura North</t>
  </si>
  <si>
    <t>Paduna North Block</t>
  </si>
  <si>
    <t>Pipela</t>
  </si>
  <si>
    <t>Rajpura Dariba</t>
  </si>
  <si>
    <t>Rampura Agucha</t>
  </si>
  <si>
    <t>Rangpo</t>
  </si>
  <si>
    <t>Rewara</t>
  </si>
  <si>
    <t>Saladipura</t>
  </si>
  <si>
    <t>Samodi</t>
  </si>
  <si>
    <t>Sargipali</t>
  </si>
  <si>
    <t>Sawar</t>
  </si>
  <si>
    <t>Sindesar Khurd</t>
  </si>
  <si>
    <t>South Dedwas</t>
  </si>
  <si>
    <t>Tikhi</t>
  </si>
  <si>
    <t>Tiranga</t>
  </si>
  <si>
    <t>Zawar</t>
  </si>
  <si>
    <t>Dairi-Anjing Hitam</t>
  </si>
  <si>
    <t>Indonesia</t>
  </si>
  <si>
    <t>Bumi Resources, PT Antam</t>
  </si>
  <si>
    <t>Dairi-Base Camp</t>
  </si>
  <si>
    <t>Dairi-Lae Jahe</t>
  </si>
  <si>
    <t>Atlantis II</t>
  </si>
  <si>
    <t>International</t>
  </si>
  <si>
    <t>Seafloor Massive sulfide</t>
  </si>
  <si>
    <t>Diamond Fields International</t>
  </si>
  <si>
    <t>Website (2016-07-14)</t>
  </si>
  <si>
    <t>Angouran</t>
  </si>
  <si>
    <t>Iran</t>
  </si>
  <si>
    <t>IMIDRO</t>
  </si>
  <si>
    <t>Daliran et al 2013</t>
  </si>
  <si>
    <t>Anjireh-Vejin</t>
  </si>
  <si>
    <t>Emarat</t>
  </si>
  <si>
    <t>Ehya et al 2010</t>
  </si>
  <si>
    <t>Heyder Abad</t>
  </si>
  <si>
    <t>Bazargani-Guilani et al 2011</t>
  </si>
  <si>
    <t>Irankuh</t>
  </si>
  <si>
    <t>Kuh-e-Surmeh</t>
  </si>
  <si>
    <t>Kushk</t>
  </si>
  <si>
    <t>Mehdiabad</t>
  </si>
  <si>
    <t>Sedex/MVT?</t>
  </si>
  <si>
    <t>Mawarid Mining</t>
  </si>
  <si>
    <t>Ann Rep 2012 (UCL Res.)</t>
  </si>
  <si>
    <t>Nakhlak</t>
  </si>
  <si>
    <t>Jazi et al (2016)</t>
  </si>
  <si>
    <t>Reza Barak</t>
  </si>
  <si>
    <t>Allenwood West</t>
  </si>
  <si>
    <t>Ireland</t>
  </si>
  <si>
    <t>Tech Rep 2010 (Rathdowney Res.)</t>
  </si>
  <si>
    <t>Ballinalack</t>
  </si>
  <si>
    <t>Ireland Gov't Top 55 brochure</t>
  </si>
  <si>
    <t>Courtbrown</t>
  </si>
  <si>
    <t>Garrycam</t>
  </si>
  <si>
    <t>Harberton Bridge</t>
  </si>
  <si>
    <t>Keel</t>
  </si>
  <si>
    <t>Lisheen</t>
  </si>
  <si>
    <t>Vedanta</t>
  </si>
  <si>
    <t>Moyvoughly</t>
  </si>
  <si>
    <t>Oldcastle</t>
  </si>
  <si>
    <t>Pallas Green</t>
  </si>
  <si>
    <t>Rickardstown</t>
  </si>
  <si>
    <t>Silvermines</t>
  </si>
  <si>
    <t>Tara (Navan)</t>
  </si>
  <si>
    <t>Boliden</t>
  </si>
  <si>
    <t>Tatestown</t>
  </si>
  <si>
    <t>Alaigyr (Alaigir)</t>
  </si>
  <si>
    <t>Kazakhstan</t>
  </si>
  <si>
    <t>Tau-Ken Samruk, Radington Industrial Consulting</t>
  </si>
  <si>
    <t>Central Region (formerly Karaganda)</t>
  </si>
  <si>
    <t>Porphyry and VMS deposits</t>
  </si>
  <si>
    <t>Kazakhmys (now KAZ Minerals)</t>
  </si>
  <si>
    <r>
      <t/>
    </r>
    <r>
      <rPr>
        <sz val="10"/>
        <color rgb="FF000000"/>
        <rFont val="Arial"/>
        <family val="2"/>
      </rPr>
      <t xml:space="preserve">Chashinskoye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</si>
  <si>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ff0000"/>
        <rFont val="Arial"/>
        <family val="2"/>
      </rPr>
      <t xml:space="preserve">VMS? </t>
    </r>
    <r>
      <rPr>
        <b/>
        <sz val="10"/>
        <color rgb="FFff0000"/>
        <rFont val="Arial"/>
        <family val="2"/>
      </rPr>
      <t>Tailings</t>
    </r>
  </si>
  <si>
    <t>Glencore Xstrata / KazZinc</t>
  </si>
  <si>
    <t>Dolinnoe</t>
  </si>
  <si>
    <t>East Region</t>
  </si>
  <si>
    <t>Maleevsky</t>
  </si>
  <si>
    <t>Novo-Leninogorskoye</t>
  </si>
  <si>
    <t>Obruchevskoe</t>
  </si>
  <si>
    <t>Ridder-Sokolny</t>
  </si>
  <si>
    <r>
      <t/>
    </r>
    <r>
      <rPr>
        <sz val="10"/>
        <color rgb="FF000000"/>
        <rFont val="Arial"/>
        <family val="2"/>
      </rPr>
      <t xml:space="preserve">Shaimerden </t>
    </r>
    <r>
      <rPr>
        <b/>
        <sz val="10"/>
        <color rgb="FFff0000"/>
        <rFont val="Arial"/>
        <family val="2"/>
      </rPr>
      <t>Stockpile</t>
    </r>
  </si>
  <si>
    <t>Non-sulfide Zinc</t>
  </si>
  <si>
    <t>SC</t>
  </si>
  <si>
    <t>Shalkiya</t>
  </si>
  <si>
    <t>ShalkiyaZinc</t>
  </si>
  <si>
    <t>Website (2014-10-26; translated)</t>
  </si>
  <si>
    <t>Shubinsky</t>
  </si>
  <si>
    <r>
      <t/>
    </r>
    <r>
      <rPr>
        <sz val="10"/>
        <color rgb="FF000000"/>
        <rFont val="Arial"/>
        <family val="2"/>
      </rPr>
      <t xml:space="preserve">Staroye </t>
    </r>
    <r>
      <rPr>
        <b/>
        <sz val="10"/>
        <color rgb="FFff0000"/>
        <rFont val="Arial"/>
        <family val="2"/>
      </rPr>
      <t>Tailings</t>
    </r>
  </si>
  <si>
    <t>Talap</t>
  </si>
  <si>
    <t>Tishinksy</t>
  </si>
  <si>
    <r>
      <t/>
    </r>
    <r>
      <rPr>
        <sz val="10"/>
        <color rgb="FF000000"/>
        <rFont val="Arial"/>
        <family val="2"/>
      </rPr>
      <t xml:space="preserve">Tishinsky </t>
    </r>
    <r>
      <rPr>
        <b/>
        <sz val="10"/>
        <color rgb="FFff0000"/>
        <rFont val="Arial"/>
        <family val="2"/>
      </rPr>
      <t>Tailings</t>
    </r>
  </si>
  <si>
    <t>Ann Rep 2012 (note: not reported in 2013)</t>
  </si>
  <si>
    <t>Zhairem</t>
  </si>
  <si>
    <t>Bumbo</t>
  </si>
  <si>
    <t>Kenya</t>
  </si>
  <si>
    <t>African Barrick Gold-51%, Lonmin-49%</t>
  </si>
  <si>
    <t>Ann Rep 2012 (Aviva Corp)</t>
  </si>
  <si>
    <t>Boz Emchek</t>
  </si>
  <si>
    <t>Kyrgyzstan</t>
  </si>
  <si>
    <t>data Kyrgyz Investment Group</t>
  </si>
  <si>
    <t>Mironovskoye</t>
  </si>
  <si>
    <t>Chaarat Gold Holdings</t>
  </si>
  <si>
    <t>Kasi</t>
  </si>
  <si>
    <t>Laos</t>
  </si>
  <si>
    <t>Padaeng Industries</t>
  </si>
  <si>
    <t>Lamphun</t>
  </si>
  <si>
    <t>Angangueo</t>
  </si>
  <si>
    <t>Mexico</t>
  </si>
  <si>
    <t>High to intermediate sulfidation</t>
  </si>
  <si>
    <t>Southern Copper Corp (Grupo Mexico)</t>
  </si>
  <si>
    <t>Form 10K 2013</t>
  </si>
  <si>
    <t>Bahuerachi</t>
  </si>
  <si>
    <t>Porphyry-Skarn</t>
  </si>
  <si>
    <t>Jinchuan</t>
  </si>
  <si>
    <t>Tech Rep (2007-11; Tyler Res.)</t>
  </si>
  <si>
    <t>Bilbao</t>
  </si>
  <si>
    <t>Xtierra</t>
  </si>
  <si>
    <t>Bismark</t>
  </si>
  <si>
    <t>Peñoles Group</t>
  </si>
  <si>
    <t>Boleo</t>
  </si>
  <si>
    <t>Baja Mining, KORES</t>
  </si>
  <si>
    <t>Tech Rep 2010-03</t>
  </si>
  <si>
    <t>%Mn</t>
  </si>
  <si>
    <t>Bolivar Group</t>
  </si>
  <si>
    <t>Sierra Metals (formerly Dia Bras Expl'n)</t>
  </si>
  <si>
    <t>Buenavista Zinc</t>
  </si>
  <si>
    <t>Grupo Mexico / SCC</t>
  </si>
  <si>
    <t>Camino Rojo</t>
  </si>
  <si>
    <t>Goldcorp</t>
  </si>
  <si>
    <t>Campo Morado Group</t>
  </si>
  <si>
    <t>Capire-Aurora 1</t>
  </si>
  <si>
    <t>Impact Silver Corp</t>
  </si>
  <si>
    <t>Tech Rep (2011-01)</t>
  </si>
  <si>
    <t>Cerro Prieto</t>
  </si>
  <si>
    <t>overprints mesothermal mineralisation</t>
  </si>
  <si>
    <t>Goldgroup Mining</t>
  </si>
  <si>
    <t>Chalchihuites</t>
  </si>
  <si>
    <t>Cieneguita</t>
  </si>
  <si>
    <t>Pan American Goldfields</t>
  </si>
  <si>
    <t>Cinco de Mayo (Upper Manto)</t>
  </si>
  <si>
    <t>MAG Silver Corp</t>
  </si>
  <si>
    <t>Tech Rep (2012-11)</t>
  </si>
  <si>
    <t>Cordero</t>
  </si>
  <si>
    <t>Levon Resources</t>
  </si>
  <si>
    <t>Tech Rep (2014-10)</t>
  </si>
  <si>
    <t>Cozamin Group</t>
  </si>
  <si>
    <t>Epithermal-Mesothermal</t>
  </si>
  <si>
    <t>Intermediate sulfidation?</t>
  </si>
  <si>
    <t>Cusi Group</t>
  </si>
  <si>
    <t>Del Toro</t>
  </si>
  <si>
    <t>First Majestic Silver Corp</t>
  </si>
  <si>
    <r>
      <t/>
    </r>
    <r>
      <rPr>
        <sz val="10"/>
        <color rgb="FF000000"/>
        <rFont val="Arial"/>
        <family val="2"/>
      </rPr>
      <t xml:space="preserve">El Tecolote (Reyna del Cobre)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</si>
  <si>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ff0000"/>
        <rFont val="Arial"/>
        <family val="2"/>
      </rPr>
      <t xml:space="preserve">Skarn </t>
    </r>
    <r>
      <rPr>
        <b/>
        <sz val="10"/>
        <color rgb="FFff0000"/>
        <rFont val="Arial"/>
        <family val="2"/>
      </rPr>
      <t>Tailings</t>
    </r>
  </si>
  <si>
    <t>TNC</t>
  </si>
  <si>
    <t>Azure Minerals</t>
  </si>
  <si>
    <t>Website (2015-02-24)</t>
  </si>
  <si>
    <t>Francisco I Madero</t>
  </si>
  <si>
    <t>Fresnillo-San Julián</t>
  </si>
  <si>
    <t>Fresnillo</t>
  </si>
  <si>
    <t>La Arista-El Aguila</t>
  </si>
  <si>
    <t>Gold Resource Corp</t>
  </si>
  <si>
    <t>La Colorada</t>
  </si>
  <si>
    <t>La Encantada</t>
  </si>
  <si>
    <r>
      <t/>
    </r>
    <r>
      <rPr>
        <sz val="10"/>
        <color rgb="FF000000"/>
        <rFont val="Arial"/>
        <family val="2"/>
      </rPr>
      <t xml:space="preserve">La Encantada </t>
    </r>
    <r>
      <rPr>
        <b/>
        <sz val="10"/>
        <color rgb="FFff0000"/>
        <rFont val="Arial"/>
        <family val="2"/>
      </rPr>
      <t>Tailings</t>
    </r>
  </si>
  <si>
    <t>La Frazada</t>
  </si>
  <si>
    <t>Tech Rep (2009-01)</t>
  </si>
  <si>
    <t>La Negra</t>
  </si>
  <si>
    <t>Aurcana Corp</t>
  </si>
  <si>
    <t>La Parilla</t>
  </si>
  <si>
    <t>Los Gatos</t>
  </si>
  <si>
    <t>Sunshine Silver Mines</t>
  </si>
  <si>
    <t>Tech Rep (2012-12)</t>
  </si>
  <si>
    <t>Metates</t>
  </si>
  <si>
    <t>Chesapeake Gold Corp</t>
  </si>
  <si>
    <t>Miguel Auza</t>
  </si>
  <si>
    <t>High and low sulphidation</t>
  </si>
  <si>
    <t>Excellon Resources</t>
  </si>
  <si>
    <t>Minera Ciénega</t>
  </si>
  <si>
    <t>Minera Fresnillo (underground)</t>
  </si>
  <si>
    <t>Minera Juanicipio</t>
  </si>
  <si>
    <t>Fresnillo-56%, MAG Silver Corp-44%</t>
  </si>
  <si>
    <t>Ann Rep 2013 (Fresnillo)</t>
  </si>
  <si>
    <t>Minera Parreña-Guachichil</t>
  </si>
  <si>
    <t>Minera Parreña-Leones</t>
  </si>
  <si>
    <t>Minera Parreña-Lucerito</t>
  </si>
  <si>
    <t>Minera Saucito</t>
  </si>
  <si>
    <t>Naica</t>
  </si>
  <si>
    <t>Namiquipa</t>
  </si>
  <si>
    <t>Low/Intermediate sulfidation</t>
  </si>
  <si>
    <t>Santana Minerals</t>
  </si>
  <si>
    <t>Nuestra Señora</t>
  </si>
  <si>
    <t>Scorpio Mining Corp</t>
  </si>
  <si>
    <t>Peñasquito (mill)</t>
  </si>
  <si>
    <t>Pitarrilla</t>
  </si>
  <si>
    <t>Platosa</t>
  </si>
  <si>
    <t>Manto/Skarn/Epithermal?</t>
  </si>
  <si>
    <t>Tech Rep (2011-11)</t>
  </si>
  <si>
    <t>Plomosas (Rosario-San Juan)</t>
  </si>
  <si>
    <t>Rey de Plata</t>
  </si>
  <si>
    <t>Industrias Penoles</t>
  </si>
  <si>
    <t>Ann Rep 2013; ILZSG database (2016-07-12)</t>
  </si>
  <si>
    <t>Rosario</t>
  </si>
  <si>
    <t>Santacruz Silver Mining</t>
  </si>
  <si>
    <t>Sabinas</t>
  </si>
  <si>
    <t>San Agustín</t>
  </si>
  <si>
    <t>Argonaut Gold</t>
  </si>
  <si>
    <t>ResV-ResC 2012 (Silver Std)</t>
  </si>
  <si>
    <t>San Felipe (Hochschild)</t>
  </si>
  <si>
    <t>Hochschild Mining</t>
  </si>
  <si>
    <t>San Felipe (Santacruz)</t>
  </si>
  <si>
    <t>San José</t>
  </si>
  <si>
    <t>Arian Silver Corp</t>
  </si>
  <si>
    <t>San José de Gracia</t>
  </si>
  <si>
    <t>San Marcial</t>
  </si>
  <si>
    <t>San Martin (Pb-Zn-Ag-Au only)</t>
  </si>
  <si>
    <t>San Nicolas</t>
  </si>
  <si>
    <t>Teck-79%, Goldcorp-21%</t>
  </si>
  <si>
    <t>Ann Rep 2013 (Goldcorp)</t>
  </si>
  <si>
    <t>San Rafael</t>
  </si>
  <si>
    <t>San Sebastian</t>
  </si>
  <si>
    <t>Hecla Mining</t>
  </si>
  <si>
    <t>Sierra Mojada</t>
  </si>
  <si>
    <t>Silver Bull Resources</t>
  </si>
  <si>
    <t>Tech (2013-12)</t>
  </si>
  <si>
    <t>SCC-IMMSA Group (Charcas-Santa Barbara-San Martin-Santa Eulalia-Taxco)</t>
  </si>
  <si>
    <t>Epithermal-Skarn</t>
  </si>
  <si>
    <t>Skarn may be dominant?</t>
  </si>
  <si>
    <t>Terrazas</t>
  </si>
  <si>
    <t>IOCG?</t>
  </si>
  <si>
    <t>Constellation Cu Corp (bankrupt)</t>
  </si>
  <si>
    <t>Tizapa</t>
  </si>
  <si>
    <t>Topia</t>
  </si>
  <si>
    <t>Great Panther Silver</t>
  </si>
  <si>
    <t>Velardeña (Peñoles)</t>
  </si>
  <si>
    <t>Velardeña-Chicago (GM)</t>
  </si>
  <si>
    <t>Golden Minerals</t>
  </si>
  <si>
    <t>Brskovo</t>
  </si>
  <si>
    <t>Montenegro</t>
  </si>
  <si>
    <t>Balamara Resources</t>
  </si>
  <si>
    <t>Visnjica</t>
  </si>
  <si>
    <t>Zuta Prla</t>
  </si>
  <si>
    <t>Boumadine</t>
  </si>
  <si>
    <t>Morocco</t>
  </si>
  <si>
    <t>Low-sulfidation</t>
  </si>
  <si>
    <t>Maya Gold &amp; Silver</t>
  </si>
  <si>
    <t>Hajar</t>
  </si>
  <si>
    <t>Compagnie Minière des Guemassa</t>
  </si>
  <si>
    <t>USGS MYB 2010 Morocco</t>
  </si>
  <si>
    <t>Tighza</t>
  </si>
  <si>
    <t>Compagnie Minière de Touissit</t>
  </si>
  <si>
    <t>CMT Media (2014-05-29)</t>
  </si>
  <si>
    <t>Berg Aukus</t>
  </si>
  <si>
    <t>Namibia</t>
  </si>
  <si>
    <t>China Africa Resources</t>
  </si>
  <si>
    <t>Gergarub</t>
  </si>
  <si>
    <t>Vedanta, Glencore</t>
  </si>
  <si>
    <t>Namib</t>
  </si>
  <si>
    <t>North River Resources</t>
  </si>
  <si>
    <r>
      <t/>
    </r>
    <r>
      <rPr>
        <sz val="10"/>
        <color rgb="FF000000"/>
        <rFont val="Arial"/>
        <family val="2"/>
      </rPr>
      <t xml:space="preserve">Namib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</si>
  <si>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ff0000"/>
        <rFont val="Arial"/>
        <family val="2"/>
      </rPr>
      <t xml:space="preserve">Sediment-hosted Pb-Zn </t>
    </r>
    <r>
      <rPr>
        <b/>
        <sz val="10"/>
        <color rgb="FFff0000"/>
        <rFont val="Arial"/>
        <family val="2"/>
      </rPr>
      <t>Tailings</t>
    </r>
  </si>
  <si>
    <t>Rosh Pinah</t>
  </si>
  <si>
    <t>Skorpion</t>
  </si>
  <si>
    <t>Tsongoari</t>
  </si>
  <si>
    <t>Gauert (2005)</t>
  </si>
  <si>
    <r>
      <t/>
    </r>
    <r>
      <rPr>
        <sz val="10"/>
        <color rgb="FF000000"/>
        <rFont val="Arial"/>
        <family val="2"/>
      </rPr>
      <t xml:space="preserve">Tsumeb </t>
    </r>
    <r>
      <rPr>
        <b/>
        <sz val="10"/>
        <color rgb="FFff0000"/>
        <rFont val="Arial"/>
        <family val="2"/>
      </rPr>
      <t>Tailings</t>
    </r>
  </si>
  <si>
    <t>Weatherly International</t>
  </si>
  <si>
    <t>Ganesh Himal-Lari I</t>
  </si>
  <si>
    <t>Nepal</t>
  </si>
  <si>
    <t>Baharani et al 2008</t>
  </si>
  <si>
    <t>Ganesh Himal-Suple</t>
  </si>
  <si>
    <t>Hysean</t>
  </si>
  <si>
    <t>North Korea</t>
  </si>
  <si>
    <t>DPRK Government</t>
  </si>
  <si>
    <t>Kyung-soo (2011)</t>
  </si>
  <si>
    <t>Goemdok (Gumdock)</t>
  </si>
  <si>
    <t>Duddar</t>
  </si>
  <si>
    <t>Pakistan</t>
  </si>
  <si>
    <t>Gunga (Khuzdar)</t>
  </si>
  <si>
    <t>Accha (AZOD)</t>
  </si>
  <si>
    <t>Peru</t>
  </si>
  <si>
    <t>Zincore Metals</t>
  </si>
  <si>
    <t>Alpamarca</t>
  </si>
  <si>
    <t>Manto-Cu</t>
  </si>
  <si>
    <t>Volcan Compania Minera</t>
  </si>
  <si>
    <t>Anamaray</t>
  </si>
  <si>
    <t>Buenaventura</t>
  </si>
  <si>
    <t>AntaKori-Sinchao</t>
  </si>
  <si>
    <t>Southern Legacy Minerals</t>
  </si>
  <si>
    <t>Antamina</t>
  </si>
  <si>
    <t>Porphyry-related</t>
  </si>
  <si>
    <t>BHP Billiton / Glencore Xstrata / Teck</t>
  </si>
  <si>
    <r>
      <t/>
    </r>
    <r>
      <rPr>
        <b/>
        <sz val="10"/>
        <color rgb="FFff0000"/>
        <rFont val="Arial"/>
        <family val="2"/>
      </rPr>
      <t>Glencore Xstrata</t>
    </r>
    <r>
      <rPr>
        <sz val="10"/>
        <color rgb="FF000000"/>
        <rFont val="Arial"/>
        <family val="2"/>
      </rPr>
      <t xml:space="preserve"> Reserves-Resources 2013</t>
    </r>
  </si>
  <si>
    <t>Ariana</t>
  </si>
  <si>
    <t>Southern Peaks Mining</t>
  </si>
  <si>
    <t>Website (2014-12-12)</t>
  </si>
  <si>
    <t>Atacocha</t>
  </si>
  <si>
    <t>Compania Minera Milpo</t>
  </si>
  <si>
    <t>Ayawilca</t>
  </si>
  <si>
    <t>Tinka Resources</t>
  </si>
  <si>
    <t>Tech Rep (2015-03)</t>
  </si>
  <si>
    <t>Bongará-Florida Canyon</t>
  </si>
  <si>
    <t>Solitario Expl. &amp; Royalty Corp., Votorantim Metais</t>
  </si>
  <si>
    <t>Tech Rep (2014-06)</t>
  </si>
  <si>
    <t>Caylloma</t>
  </si>
  <si>
    <t>Fortuna Silver Mines</t>
  </si>
  <si>
    <t>Cerro de Pasco</t>
  </si>
  <si>
    <t>High to intermediate-low sulfidation</t>
  </si>
  <si>
    <t>Cerro Lindo</t>
  </si>
  <si>
    <t>Chungar</t>
  </si>
  <si>
    <t>Contonga</t>
  </si>
  <si>
    <t>Corani</t>
  </si>
  <si>
    <t>Low-to-intermediate sulfidation</t>
  </si>
  <si>
    <t>Bear Creek Mining Corp</t>
  </si>
  <si>
    <t>Tech Rep (2011-12)</t>
  </si>
  <si>
    <t>Coricancha</t>
  </si>
  <si>
    <t>Reserves-Resources 2012 minus 2013 prod'n</t>
  </si>
  <si>
    <t>El Brocal (Colquijirca)</t>
  </si>
  <si>
    <t>El Brocal / Buenaventura</t>
  </si>
  <si>
    <t>Form 20F 2013 (B)</t>
  </si>
  <si>
    <t>El Porvenir</t>
  </si>
  <si>
    <t>Hilarion</t>
  </si>
  <si>
    <t>Huampar</t>
  </si>
  <si>
    <t>Website (2013-10-20)</t>
  </si>
  <si>
    <t>Huaron</t>
  </si>
  <si>
    <t>Invicta</t>
  </si>
  <si>
    <t>Lupaka Gold</t>
  </si>
  <si>
    <t>Iscaycruz</t>
  </si>
  <si>
    <t>Islay</t>
  </si>
  <si>
    <t>Julcani</t>
  </si>
  <si>
    <t>La Granja</t>
  </si>
  <si>
    <t>Cu-Mo</t>
  </si>
  <si>
    <t>Rio Tinto</t>
  </si>
  <si>
    <t>Ann Rep's 2010 &amp; 2013</t>
  </si>
  <si>
    <t>Mallay</t>
  </si>
  <si>
    <t>Morococha</t>
  </si>
  <si>
    <t>?low sulfidation?</t>
  </si>
  <si>
    <t>Oyama</t>
  </si>
  <si>
    <t>Palma</t>
  </si>
  <si>
    <t>Pilarica (Fresnillo Peru)</t>
  </si>
  <si>
    <t>Pucarrajo</t>
  </si>
  <si>
    <t>Reserves-Resources 2012 (2007 data)</t>
  </si>
  <si>
    <t>Quiruvilca</t>
  </si>
  <si>
    <t>Recuperada</t>
  </si>
  <si>
    <t>Rio Pallanga</t>
  </si>
  <si>
    <t>San Gregorio</t>
  </si>
  <si>
    <t>Ann Rep 2013 (EB)</t>
  </si>
  <si>
    <t>San Sebastián</t>
  </si>
  <si>
    <t>Santander (Magistral-Puajanca)</t>
  </si>
  <si>
    <r>
      <t/>
    </r>
    <r>
      <rPr>
        <sz val="10"/>
        <color rgb="FF000000"/>
        <rFont val="Arial"/>
        <family val="2"/>
      </rPr>
      <t xml:space="preserve">Santander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</si>
  <si>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Skarn </t>
    </r>
    <r>
      <rPr>
        <b/>
        <sz val="10"/>
        <color rgb="FFff0000"/>
        <rFont val="Arial"/>
        <family val="2"/>
      </rPr>
      <t>Tailings</t>
    </r>
  </si>
  <si>
    <t>Tajo Norte-La Llave</t>
  </si>
  <si>
    <t>Tambomayo</t>
  </si>
  <si>
    <t>Uchucchacua (Jancapata, Yumpag)</t>
  </si>
  <si>
    <t>Vinchos</t>
  </si>
  <si>
    <t>Yanque</t>
  </si>
  <si>
    <t>Yauli</t>
  </si>
  <si>
    <t>Yauliyacu</t>
  </si>
  <si>
    <t>Yauricocha</t>
  </si>
  <si>
    <t>Zoraida</t>
  </si>
  <si>
    <t>Canatuan</t>
  </si>
  <si>
    <t>Philippines</t>
  </si>
  <si>
    <t>TVI Pacific</t>
  </si>
  <si>
    <t>Website (2014-01-12)</t>
  </si>
  <si>
    <t>Manat-Magas</t>
  </si>
  <si>
    <t>Alsons Grou-75%, Indophil-25%</t>
  </si>
  <si>
    <t>Ann Rep 2013 (Indophil)</t>
  </si>
  <si>
    <t>Ungay-Malobago (Rapu Rapu)</t>
  </si>
  <si>
    <t>KMP Resources Inc. (?) (formerly Lafayette Mining)</t>
  </si>
  <si>
    <t>Ann Rep 2007 (Lafayette)</t>
  </si>
  <si>
    <t>Nakru</t>
  </si>
  <si>
    <t>PNG</t>
  </si>
  <si>
    <t>Coppermoly</t>
  </si>
  <si>
    <t>Media (2012-07-24)</t>
  </si>
  <si>
    <t>Solwara 1</t>
  </si>
  <si>
    <t>Nautilus Minerals, PNG Gov.</t>
  </si>
  <si>
    <t>Solwara 12</t>
  </si>
  <si>
    <t>Olza (Rokitno, Zawiercie, Chechlo)</t>
  </si>
  <si>
    <t>Poland</t>
  </si>
  <si>
    <t>Rathdowney Resources</t>
  </si>
  <si>
    <t>Aljustrel</t>
  </si>
  <si>
    <t>Portugal</t>
  </si>
  <si>
    <t>Almina-Minas do Alentejo</t>
  </si>
  <si>
    <t>Lagoa Salgada</t>
  </si>
  <si>
    <t>Portex Minerals</t>
  </si>
  <si>
    <t>Tech Rep (2012-01)</t>
  </si>
  <si>
    <t>Neves-Corvo</t>
  </si>
  <si>
    <t>Lundin Mining</t>
  </si>
  <si>
    <t>Cavnic</t>
  </si>
  <si>
    <t>Romania</t>
  </si>
  <si>
    <t>Grancea et al 2002</t>
  </si>
  <si>
    <t>Suior</t>
  </si>
  <si>
    <t>Kouzmanov et al 2005</t>
  </si>
  <si>
    <t>50 Years October</t>
  </si>
  <si>
    <t>Russia</t>
  </si>
  <si>
    <t>Herrington et al, 2005</t>
  </si>
  <si>
    <t>Alexandrinka</t>
  </si>
  <si>
    <t>Bakr Tau</t>
  </si>
  <si>
    <t>Balta Tau</t>
  </si>
  <si>
    <t>Berezitovy</t>
  </si>
  <si>
    <t>Nordgold</t>
  </si>
  <si>
    <t>Ann Rep 2013, ILZSG (2016-07-12)</t>
  </si>
  <si>
    <t>Blyava</t>
  </si>
  <si>
    <t>Buribai</t>
  </si>
  <si>
    <t>Degtyarskoe</t>
  </si>
  <si>
    <t>Gai</t>
  </si>
  <si>
    <t>Goltsovoye</t>
  </si>
  <si>
    <t>Polymetal RU</t>
  </si>
  <si>
    <t>Gorevskoe</t>
  </si>
  <si>
    <t>Leach et al, 2005</t>
  </si>
  <si>
    <t>Goroblagodat</t>
  </si>
  <si>
    <t>%TiO2</t>
  </si>
  <si>
    <t>Ishkinino</t>
  </si>
  <si>
    <t>g/t Pt</t>
  </si>
  <si>
    <t>Kholodninskoe</t>
  </si>
  <si>
    <t>MBC Corp</t>
  </si>
  <si>
    <t>Website (2015-04-24)</t>
  </si>
  <si>
    <t>In-Cd-Se-Te</t>
  </si>
  <si>
    <t>Khudesskoye</t>
  </si>
  <si>
    <t>Urals Mining &amp; Metallurgical Co. (UMMC)</t>
  </si>
  <si>
    <t>Komaganskoe</t>
  </si>
  <si>
    <t>Korbalikhinskoye</t>
  </si>
  <si>
    <t>Min Deps Northeast Asia</t>
  </si>
  <si>
    <t>Krasnogvardeyskoe</t>
  </si>
  <si>
    <t>Letnye</t>
  </si>
  <si>
    <t>Limonitovoye</t>
  </si>
  <si>
    <t>Mauk</t>
  </si>
  <si>
    <t>Nazarovskoe</t>
  </si>
  <si>
    <t>Novoshirokinskoye</t>
  </si>
  <si>
    <t>Skarn/Epithermal?</t>
  </si>
  <si>
    <t>Highland Gold</t>
  </si>
  <si>
    <t>Noyon-Tologoisky</t>
  </si>
  <si>
    <t>Baojin Mining (ILZSG db?)</t>
  </si>
  <si>
    <t>Ozernoe (Ozerny)</t>
  </si>
  <si>
    <t>Pavlovskoye</t>
  </si>
  <si>
    <t>Rosatom, Atomredmetzoloto (ARMZ)</t>
  </si>
  <si>
    <t>Perevalnoye</t>
  </si>
  <si>
    <t>Podolskoe</t>
  </si>
  <si>
    <t>Safyanovka</t>
  </si>
  <si>
    <t>Salairskoye</t>
  </si>
  <si>
    <t>Sardana</t>
  </si>
  <si>
    <t>Summa Group</t>
  </si>
  <si>
    <t>Sibay</t>
  </si>
  <si>
    <t>Tarnyerskoe</t>
  </si>
  <si>
    <t>Tuva / Kyzyl-Tash Turk</t>
  </si>
  <si>
    <t>Uchaly</t>
  </si>
  <si>
    <t>Urultun</t>
  </si>
  <si>
    <t>Uzelga</t>
  </si>
  <si>
    <t>Yaman Kasy</t>
  </si>
  <si>
    <t>Yubilenoe (VMS Cu-Zn)</t>
  </si>
  <si>
    <t>Zimnyee</t>
  </si>
  <si>
    <t>Al Masane-Al Kobra (AMAK)</t>
  </si>
  <si>
    <t>Saudi Arabia</t>
  </si>
  <si>
    <t>AMAK, Trecora Res. (formerly Arabian American Devt Co)</t>
  </si>
  <si>
    <t>Tech Rep (2009-09) (Trecora)</t>
  </si>
  <si>
    <t>Jabal Dhaylan</t>
  </si>
  <si>
    <t>Jabal Sayid-Citadel (Lode 1 only)</t>
  </si>
  <si>
    <t>Barrick Gold (formerly Equinox Res.)</t>
  </si>
  <si>
    <t>Ann Rep 2010 (Equinox)</t>
  </si>
  <si>
    <t>Khnaiguiyah (1-2)</t>
  </si>
  <si>
    <t>Alara-50%, United Arabian Mining Company (Manajem)-50%</t>
  </si>
  <si>
    <t>Chadine</t>
  </si>
  <si>
    <t>Serbia</t>
  </si>
  <si>
    <t>Aurasian Minerals</t>
  </si>
  <si>
    <t>Website (2016-05-19)</t>
  </si>
  <si>
    <t>Parlozi</t>
  </si>
  <si>
    <t>Rosita Mining</t>
  </si>
  <si>
    <t>Tenka</t>
  </si>
  <si>
    <t>Armstrong et al (2005)</t>
  </si>
  <si>
    <t>Black Mountain-Deeps/Broken Hill</t>
  </si>
  <si>
    <t>South Africa</t>
  </si>
  <si>
    <t>Black Mountain-Gamsberg</t>
  </si>
  <si>
    <t>Black Mountain-Swartberg</t>
  </si>
  <si>
    <t>Bushy Park</t>
  </si>
  <si>
    <t>Wheatley et al 1986</t>
  </si>
  <si>
    <t>Pering</t>
  </si>
  <si>
    <t>Minéro Zinc</t>
  </si>
  <si>
    <t>Fin. Summary (Pering Base Metals Pty Ltd, 2010-12)</t>
  </si>
  <si>
    <t>Salt River-Graafwater East/West</t>
  </si>
  <si>
    <t>Thabex</t>
  </si>
  <si>
    <t>Salt River-Hartebeest Vlei</t>
  </si>
  <si>
    <t>Salt River-Main</t>
  </si>
  <si>
    <t>Yeonwha 1</t>
  </si>
  <si>
    <t>South Korea</t>
  </si>
  <si>
    <t>Woulfe Mining Corp</t>
  </si>
  <si>
    <t>Website (2014-12-10)</t>
  </si>
  <si>
    <t>Aguas Teñidas</t>
  </si>
  <si>
    <t>Spain</t>
  </si>
  <si>
    <t>Iberian Minerals</t>
  </si>
  <si>
    <t>Tech Rep (2009-09)</t>
  </si>
  <si>
    <t>Cobre Las Cruces</t>
  </si>
  <si>
    <t>Lomero-Poyatos</t>
  </si>
  <si>
    <t>Petaquilla Minerals</t>
  </si>
  <si>
    <t>Masa Valverde</t>
  </si>
  <si>
    <t>Cambridge Mineral Resources</t>
  </si>
  <si>
    <t>Pres. (undated, website 2014-01-12)</t>
  </si>
  <si>
    <t>Santa Barbara</t>
  </si>
  <si>
    <t>Toral</t>
  </si>
  <si>
    <t>Abu Samar</t>
  </si>
  <si>
    <t>Sudan</t>
  </si>
  <si>
    <t>Hassaï</t>
  </si>
  <si>
    <t>Weatherly Investments II (formerly La Mancha)</t>
  </si>
  <si>
    <t>Tech Rep (2012-08; La Mancha)</t>
  </si>
  <si>
    <t>Barsele (Norra)</t>
  </si>
  <si>
    <t>Sweden</t>
  </si>
  <si>
    <t>VMS/Epithermal</t>
  </si>
  <si>
    <t>Orex Minerals</t>
  </si>
  <si>
    <t>Boliden-Kristineberg</t>
  </si>
  <si>
    <t>Boliden-Maurliden</t>
  </si>
  <si>
    <t>Boliden-Maurliden Östra</t>
  </si>
  <si>
    <t>Boliden-Petiknäs N</t>
  </si>
  <si>
    <t>Boliden-Renström</t>
  </si>
  <si>
    <t>Garpenberg</t>
  </si>
  <si>
    <t>Häggån</t>
  </si>
  <si>
    <t>Sediment-hosted Pb-Zn (Shale-hosted)</t>
  </si>
  <si>
    <t>Aura Energy</t>
  </si>
  <si>
    <t>Huornaisenvuoma</t>
  </si>
  <si>
    <t>Rockliden</t>
  </si>
  <si>
    <t>Viken</t>
  </si>
  <si>
    <t>Continental Precious Minerals</t>
  </si>
  <si>
    <t>Viscaria (A-B Zones)</t>
  </si>
  <si>
    <t>Avalon Minerals</t>
  </si>
  <si>
    <t>Media (2011-11-29)</t>
  </si>
  <si>
    <t>Zinkgruven</t>
  </si>
  <si>
    <t>Konimansur Kalon</t>
  </si>
  <si>
    <t>Tajikistan</t>
  </si>
  <si>
    <t>Tajik Gov't</t>
  </si>
  <si>
    <t>Harvest-Terakimti</t>
  </si>
  <si>
    <t>Tanzania</t>
  </si>
  <si>
    <t>East Africa Metals</t>
  </si>
  <si>
    <t>Mae Sod (Padaeng)</t>
  </si>
  <si>
    <t>Thailand</t>
  </si>
  <si>
    <t>Bou Jabeur-Gite de l'Est</t>
  </si>
  <si>
    <t>Tunisia</t>
  </si>
  <si>
    <t>unknown (formerly Maghreb Minerals plc)</t>
  </si>
  <si>
    <t>Maghreb Mins. Pres. (Finex'08), Media 2007-12-13</t>
  </si>
  <si>
    <t>%CaF2</t>
  </si>
  <si>
    <t>Djebba</t>
  </si>
  <si>
    <t>Ann Report (2007)</t>
  </si>
  <si>
    <t>Fej Lahdoum-Dar N’Hal Nord</t>
  </si>
  <si>
    <t>Media 2007-03-07</t>
  </si>
  <si>
    <t>Kohol</t>
  </si>
  <si>
    <t>Media 2006-12-07</t>
  </si>
  <si>
    <t>Sidi at Taia (Sidi Taya)</t>
  </si>
  <si>
    <t>Zriba-Guebli</t>
  </si>
  <si>
    <t>Bayindir</t>
  </si>
  <si>
    <t>Turkey</t>
  </si>
  <si>
    <t>Çayeli Bakir</t>
  </si>
  <si>
    <t>Çorak</t>
  </si>
  <si>
    <t>Mediterranean Resources</t>
  </si>
  <si>
    <t>Tufanbeyli Group</t>
  </si>
  <si>
    <t>Red Crescent Resources</t>
  </si>
  <si>
    <t>Yenice</t>
  </si>
  <si>
    <t>Nesko</t>
  </si>
  <si>
    <t>Türkiye (2013)</t>
  </si>
  <si>
    <t>Yenipazar</t>
  </si>
  <si>
    <t>Aldridge Minerals</t>
  </si>
  <si>
    <t>South Crofty</t>
  </si>
  <si>
    <t>UK</t>
  </si>
  <si>
    <t>Granite-related</t>
  </si>
  <si>
    <t>????</t>
  </si>
  <si>
    <t>Celeste Copper</t>
  </si>
  <si>
    <t>Tech Rep (2012-10)</t>
  </si>
  <si>
    <t>Back Forty</t>
  </si>
  <si>
    <t>USA</t>
  </si>
  <si>
    <t>Aquila Resources Inc</t>
  </si>
  <si>
    <t>Blue Moon</t>
  </si>
  <si>
    <t>C.O.D.-Kingman</t>
  </si>
  <si>
    <t>ARS Mining</t>
  </si>
  <si>
    <t>Tech Rep (2008-07)</t>
  </si>
  <si>
    <r>
      <t/>
    </r>
    <r>
      <rPr>
        <sz val="10"/>
        <color rgb="FF000000"/>
        <rFont val="Arial"/>
        <family val="2"/>
      </rPr>
      <t xml:space="preserve">C.O.D.-Kingman </t>
    </r>
    <r>
      <rPr>
        <b/>
        <sz val="10"/>
        <color rgb="FFff0000"/>
        <rFont val="Arial"/>
        <family val="2"/>
      </rPr>
      <t>Tailings</t>
    </r>
  </si>
  <si>
    <r>
      <t/>
    </r>
    <r>
      <rPr>
        <sz val="10"/>
        <color rgb="FF000000"/>
        <rFont val="Arial"/>
        <family val="2"/>
      </rPr>
      <t xml:space="preserve">Mesothermal Vein </t>
    </r>
    <r>
      <rPr>
        <b/>
        <sz val="10"/>
        <color rgb="FFff0000"/>
        <rFont val="Arial"/>
        <family val="2"/>
      </rPr>
      <t>Tailings</t>
    </r>
  </si>
  <si>
    <t>Coeur-Galena Complex (Pb-Ag only)</t>
  </si>
  <si>
    <t>Coeur D'Alene district</t>
  </si>
  <si>
    <t>US Silver &amp; Gold</t>
  </si>
  <si>
    <t>East Tennessee (Coy-Immel-Young)</t>
  </si>
  <si>
    <t>Empire</t>
  </si>
  <si>
    <t>Musgrove Minerals</t>
  </si>
  <si>
    <t>Tech Rep (2006-09)</t>
  </si>
  <si>
    <t>Greens Creek</t>
  </si>
  <si>
    <t>Lik</t>
  </si>
  <si>
    <t>Zazu Metals Corp</t>
  </si>
  <si>
    <t>Lone Mountain-Upper Lake Valley</t>
  </si>
  <si>
    <t>Copper One</t>
  </si>
  <si>
    <t>Tech Rep 2009-11</t>
  </si>
  <si>
    <t>Lucky Friday</t>
  </si>
  <si>
    <t>Middle Tennessee (Gordonsville-Elmwood-Cumberland)</t>
  </si>
  <si>
    <t>Montana Tunnels (M-pit)</t>
  </si>
  <si>
    <t>Au</t>
  </si>
  <si>
    <t>Eastern Resources</t>
  </si>
  <si>
    <t>Reserves-Resources 2008</t>
  </si>
  <si>
    <t>Niblack (Lookout-Trio)</t>
  </si>
  <si>
    <t>Heatherdale Resources</t>
  </si>
  <si>
    <t>Website (2014-01-14)</t>
  </si>
  <si>
    <t>Pend Oreille (Yellowhead)</t>
  </si>
  <si>
    <t>Red Dog</t>
  </si>
  <si>
    <t>Reef Ridge</t>
  </si>
  <si>
    <t>Doyon</t>
  </si>
  <si>
    <t>Revenue (Virginius)</t>
  </si>
  <si>
    <t>Fortune Minerals</t>
  </si>
  <si>
    <t>Revenue (Yellow Rose)</t>
  </si>
  <si>
    <t>San Juan</t>
  </si>
  <si>
    <t>Silver Valley-Star</t>
  </si>
  <si>
    <r>
      <t/>
    </r>
    <r>
      <rPr>
        <sz val="10"/>
        <color rgb="FF000000"/>
        <rFont val="Arial"/>
        <family val="2"/>
      </rPr>
      <t>Sunshine (</t>
    </r>
    <r>
      <rPr>
        <i/>
        <sz val="10"/>
        <color rgb="FF000000"/>
        <rFont val="Arial"/>
        <family val="2"/>
      </rPr>
      <t>inferred only</t>
    </r>
    <r>
      <rPr>
        <sz val="10"/>
        <color rgb="FF000000"/>
        <rFont val="Arial"/>
        <family val="2"/>
      </rPr>
      <t>)</t>
    </r>
  </si>
  <si>
    <t>Su-Lik</t>
  </si>
  <si>
    <t>Upper Kobuk-Arctic</t>
  </si>
  <si>
    <t>NovaCopper</t>
  </si>
  <si>
    <t>West Desert (Crypto)</t>
  </si>
  <si>
    <t>InZinc Mining (formerly Lithic Res.)</t>
  </si>
  <si>
    <t>Khandiza</t>
  </si>
  <si>
    <t>Uzbekistan</t>
  </si>
  <si>
    <t>Marakand Minerals</t>
  </si>
  <si>
    <t>Website (2014-10-07; also Oxus Gold)</t>
  </si>
  <si>
    <t>Parys Mountain</t>
  </si>
  <si>
    <t>Wales</t>
  </si>
  <si>
    <t>Anglesey Mining</t>
  </si>
  <si>
    <t>Jabali</t>
  </si>
  <si>
    <t>Yemen</t>
  </si>
  <si>
    <t>Non-sulfide Zinc deposit</t>
  </si>
  <si>
    <t>unknoown</t>
  </si>
  <si>
    <t>Mondillo et al 2014</t>
  </si>
  <si>
    <r>
      <t/>
    </r>
    <r>
      <rPr>
        <sz val="10"/>
        <color rgb="FF000000"/>
        <rFont val="Arial"/>
        <family val="2"/>
      </rPr>
      <t xml:space="preserve">Jabali </t>
    </r>
    <r>
      <rPr>
        <b/>
        <sz val="10"/>
        <color rgb="FFff0000"/>
        <rFont val="Arial"/>
        <family val="2"/>
      </rPr>
      <t>Stockpile</t>
    </r>
  </si>
  <si>
    <t>SNC</t>
  </si>
  <si>
    <t>Kabwe</t>
  </si>
  <si>
    <t>Zambia</t>
  </si>
  <si>
    <t>Berkley Mineral Resources</t>
  </si>
  <si>
    <r>
      <t/>
    </r>
    <r>
      <rPr>
        <sz val="10"/>
        <color rgb="FF000000"/>
        <rFont val="Arial"/>
        <family val="2"/>
      </rPr>
      <t xml:space="preserve">Kabwe </t>
    </r>
    <r>
      <rPr>
        <b/>
        <sz val="10"/>
        <color rgb="FFff0000"/>
        <rFont val="Arial"/>
        <family val="2"/>
      </rPr>
      <t>Tailings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</si>
</sst>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"/>
    <numFmt numFmtId="165" formatCode="#,##0.000"/>
    <numFmt numFmtId="166" formatCode="#,##0.000000"/>
    <numFmt numFmtId="167" formatCode="#,##0.0000"/>
  </numFmts>
  <fonts count="6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b/>
      <sz val="10"/>
      <color rgb="FF3366ff"/>
      <name val="Arial"/>
      <family val="2"/>
    </font>
    <font>
      <b/>
      <sz val="10"/>
      <color rgb="FF993300"/>
      <name val="Arial"/>
      <family val="2"/>
    </font>
    <font>
      <b/>
      <sz val="10"/>
      <color rgb="FF0000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</patternFill>
    </fill>
    <fill>
      <patternFill patternType="solid">
        <fgColor rgb="FFccffff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2" applyBorder="1" fontId="2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0" borderId="1" applyBorder="1" fontId="4" applyFont="1" fillId="3" applyFill="1" applyAlignment="1">
      <alignment horizontal="center"/>
    </xf>
    <xf xfId="0" numFmtId="4" applyNumberFormat="1" borderId="1" applyBorder="1" fontId="5" applyFont="1" fillId="3" applyFill="1" applyAlignment="1">
      <alignment horizontal="center"/>
    </xf>
    <xf xfId="0" numFmtId="3" applyNumberFormat="1" borderId="1" applyBorder="1" fontId="5" applyFont="1" fillId="3" applyFill="1" applyAlignment="1">
      <alignment horizontal="center"/>
    </xf>
    <xf xfId="0" numFmtId="164" applyNumberFormat="1" borderId="1" applyBorder="1" fontId="5" applyFont="1" fillId="3" applyFill="1" applyAlignment="1">
      <alignment horizontal="center"/>
    </xf>
    <xf xfId="0" numFmtId="165" applyNumberFormat="1" borderId="1" applyBorder="1" fontId="5" applyFont="1" fillId="3" applyFill="1" applyAlignment="1">
      <alignment horizontal="center"/>
    </xf>
    <xf xfId="0" numFmtId="1" applyNumberFormat="1" borderId="1" applyBorder="1" fontId="5" applyFont="1" fillId="3" applyFill="1" applyAlignment="1">
      <alignment horizontal="center"/>
    </xf>
    <xf xfId="0" numFmtId="0" borderId="1" applyBorder="1" fontId="5" applyFont="1" fillId="3" applyFill="1" applyAlignment="1">
      <alignment horizontal="center"/>
    </xf>
    <xf xfId="0" numFmtId="166" applyNumberFormat="1" borderId="1" applyBorder="1" fontId="1" applyFont="1" fillId="3" applyFill="1" applyAlignment="1">
      <alignment horizontal="center"/>
    </xf>
    <xf xfId="0" numFmtId="0" borderId="2" applyBorder="1" fontId="5" applyFont="1" fillId="0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164" applyNumberFormat="1" borderId="2" applyBorder="1" fontId="2" applyFont="1" fillId="0" applyAlignment="1">
      <alignment horizontal="center"/>
    </xf>
    <xf xfId="0" numFmtId="165" applyNumberFormat="1" borderId="2" applyBorder="1" fontId="2" applyFont="1" fillId="0" applyAlignment="1">
      <alignment horizontal="center"/>
    </xf>
    <xf xfId="0" numFmtId="1" applyNumberFormat="1" borderId="2" applyBorder="1" fontId="2" applyFont="1" fillId="0" applyAlignment="1">
      <alignment horizontal="center"/>
    </xf>
    <xf xfId="0" numFmtId="166" applyNumberFormat="1" borderId="2" applyBorder="1" fontId="2" applyFont="1" fillId="0" applyAlignment="1">
      <alignment horizontal="center"/>
    </xf>
    <xf xfId="0" numFmtId="4" applyNumberFormat="1" borderId="2" applyBorder="1" fontId="1" applyFont="1" fillId="0" applyAlignment="1">
      <alignment horizontal="center"/>
    </xf>
    <xf xfId="0" numFmtId="164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167" applyNumberFormat="1" borderId="2" applyBorder="1" fontId="2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lef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164" applyNumberFormat="1" borderId="0" fontId="0" fillId="0" applyAlignment="1">
      <alignment horizontal="center"/>
    </xf>
    <xf xfId="0" numFmtId="165" applyNumberFormat="1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852"/>
  <sheetViews>
    <sheetView workbookViewId="0" tabSelected="1"/>
  </sheetViews>
  <sheetFormatPr defaultRowHeight="15" x14ac:dyDescent="0.25"/>
  <cols>
    <col min="1" max="1" style="25" width="12.43357142857143" customWidth="1" bestFit="1"/>
    <col min="2" max="2" style="25" width="12.43357142857143" customWidth="1" bestFit="1"/>
    <col min="3" max="3" style="25" width="12.43357142857143" customWidth="1" bestFit="1"/>
    <col min="4" max="4" style="25" width="12.43357142857143" customWidth="1" bestFit="1"/>
    <col min="5" max="5" style="25" width="12.43357142857143" customWidth="1" bestFit="1"/>
    <col min="6" max="6" style="25" width="12.43357142857143" customWidth="1" bestFit="1"/>
    <col min="7" max="7" style="25" width="12.43357142857143" customWidth="1" bestFit="1"/>
    <col min="8" max="8" style="26" width="12.43357142857143" customWidth="1" bestFit="1"/>
    <col min="9" max="9" style="26" width="12.43357142857143" customWidth="1" bestFit="1"/>
    <col min="10" max="10" style="26" width="12.43357142857143" customWidth="1" bestFit="1"/>
    <col min="11" max="11" style="27" width="12.43357142857143" customWidth="1" bestFit="1"/>
    <col min="12" max="12" style="26" width="12.43357142857143" customWidth="1" bestFit="1"/>
    <col min="13" max="13" style="26" width="12.43357142857143" customWidth="1" bestFit="1"/>
    <col min="14" max="14" style="28" width="12.43357142857143" customWidth="1" bestFit="1"/>
    <col min="15" max="15" style="29" width="12.43357142857143" customWidth="1" bestFit="1"/>
    <col min="16" max="16" style="26" width="12.43357142857143" customWidth="1" bestFit="1"/>
    <col min="17" max="17" style="26" width="12.43357142857143" customWidth="1" bestFit="1"/>
    <col min="18" max="18" style="30" width="12.43357142857143" customWidth="1" bestFit="1"/>
    <col min="19" max="19" style="26" width="12.43357142857143" customWidth="1" bestFit="1"/>
    <col min="20" max="20" style="30" width="12.43357142857143" customWidth="1" bestFit="1"/>
    <col min="21" max="21" style="26" width="12.43357142857143" customWidth="1" bestFit="1"/>
    <col min="22" max="22" style="29" width="12.43357142857143" customWidth="1" bestFit="1"/>
    <col min="23" max="23" style="26" width="12.43357142857143" customWidth="1" bestFit="1"/>
    <col min="24" max="24" style="26" width="12.43357142857143" customWidth="1" bestFit="1"/>
    <col min="25" max="25" style="27" width="12.43357142857143" customWidth="1" bestFit="1"/>
    <col min="26" max="26" style="25" width="12.43357142857143" customWidth="1" bestFit="1"/>
    <col min="27" max="27" style="26" width="12.43357142857143" customWidth="1" bestFit="1"/>
    <col min="28" max="28" style="26" width="12.43357142857143" customWidth="1" bestFit="1"/>
    <col min="29" max="29" style="28" width="12.43357142857143" customWidth="1" bestFit="1"/>
    <col min="30" max="30" style="28" width="12.43357142857143" customWidth="1" bestFit="1"/>
    <col min="31" max="31" style="26" width="12.43357142857143" customWidth="1" bestFit="1"/>
    <col min="32" max="32" style="26" width="12.43357142857143" customWidth="1" bestFit="1"/>
    <col min="33" max="33" style="26" width="12.43357142857143" customWidth="1" bestFit="1"/>
    <col min="34" max="34" style="31" width="12.43357142857143" customWidth="1" bestFit="1"/>
    <col min="35" max="35" style="31" width="12.43357142857143" customWidth="1" bestFit="1"/>
    <col min="36" max="36" style="31" width="12.43357142857143" customWidth="1" bestFit="1"/>
    <col min="37" max="37" style="31" width="12.43357142857143" customWidth="1" bestFit="1"/>
    <col min="38" max="38" style="31" width="12.43357142857143" customWidth="1" bestFit="1"/>
    <col min="39" max="39" style="27" width="12.43357142857143" customWidth="1" bestFit="1"/>
    <col min="40" max="40" style="27" width="12.43357142857143" customWidth="1" bestFit="1"/>
    <col min="41" max="41" style="27" width="12.43357142857143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3" t="s">
        <v>3</v>
      </c>
      <c r="E1" s="2"/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6" t="s">
        <v>9</v>
      </c>
      <c r="L1" s="5" t="s">
        <v>10</v>
      </c>
      <c r="M1" s="5" t="s">
        <v>11</v>
      </c>
      <c r="N1" s="7" t="s">
        <v>12</v>
      </c>
      <c r="O1" s="8" t="s">
        <v>13</v>
      </c>
      <c r="P1" s="5" t="s">
        <v>14</v>
      </c>
      <c r="Q1" s="5" t="s">
        <v>15</v>
      </c>
      <c r="R1" s="9" t="s">
        <v>16</v>
      </c>
      <c r="S1" s="5" t="s">
        <v>17</v>
      </c>
      <c r="T1" s="9" t="s">
        <v>18</v>
      </c>
      <c r="U1" s="5" t="s">
        <v>19</v>
      </c>
      <c r="V1" s="8" t="s">
        <v>20</v>
      </c>
      <c r="W1" s="5" t="s">
        <v>21</v>
      </c>
      <c r="X1" s="5" t="s">
        <v>22</v>
      </c>
      <c r="Y1" s="6" t="s">
        <v>23</v>
      </c>
      <c r="Z1" s="10" t="s">
        <v>23</v>
      </c>
      <c r="AA1" s="5" t="s">
        <v>24</v>
      </c>
      <c r="AB1" s="5" t="s">
        <v>25</v>
      </c>
      <c r="AC1" s="7" t="s">
        <v>26</v>
      </c>
      <c r="AD1" s="7" t="s">
        <v>27</v>
      </c>
      <c r="AE1" s="5" t="s">
        <v>28</v>
      </c>
      <c r="AF1" s="5" t="s">
        <v>29</v>
      </c>
      <c r="AG1" s="5" t="s">
        <v>30</v>
      </c>
      <c r="AH1" s="11" t="s">
        <v>31</v>
      </c>
      <c r="AI1" s="11" t="s">
        <v>32</v>
      </c>
      <c r="AJ1" s="11" t="s">
        <v>33</v>
      </c>
      <c r="AK1" s="11" t="s">
        <v>34</v>
      </c>
      <c r="AL1" s="11" t="s">
        <v>35</v>
      </c>
      <c r="AM1" s="6" t="s">
        <v>6</v>
      </c>
      <c r="AN1" s="6" t="s">
        <v>36</v>
      </c>
      <c r="AO1" s="6" t="s">
        <v>37</v>
      </c>
    </row>
    <row x14ac:dyDescent="0.25" r="2" customHeight="1" ht="18">
      <c r="A2" s="2" t="s">
        <v>38</v>
      </c>
      <c r="B2" s="2" t="s">
        <v>39</v>
      </c>
      <c r="C2" s="2" t="s">
        <v>40</v>
      </c>
      <c r="D2" s="2" t="s">
        <v>41</v>
      </c>
      <c r="E2" s="12" t="s">
        <v>42</v>
      </c>
      <c r="F2" s="2" t="s">
        <v>43</v>
      </c>
      <c r="G2" s="2" t="s">
        <v>44</v>
      </c>
      <c r="H2" s="13">
        <v>7.1</v>
      </c>
      <c r="I2" s="13">
        <v>1.2</v>
      </c>
      <c r="J2" s="13">
        <v>1.9</v>
      </c>
      <c r="K2" s="14"/>
      <c r="L2" s="13"/>
      <c r="M2" s="13"/>
      <c r="N2" s="15"/>
      <c r="O2" s="16"/>
      <c r="P2" s="13"/>
      <c r="Q2" s="13"/>
      <c r="R2" s="17"/>
      <c r="S2" s="13"/>
      <c r="T2" s="17"/>
      <c r="U2" s="13"/>
      <c r="V2" s="16"/>
      <c r="W2" s="13"/>
      <c r="X2" s="13"/>
      <c r="Y2" s="14"/>
      <c r="Z2" s="2"/>
      <c r="AA2" s="13">
        <f>H2*I2/100</f>
      </c>
      <c r="AB2" s="13">
        <f>H2*J2/100</f>
      </c>
      <c r="AC2" s="15">
        <f>H2*K2</f>
      </c>
      <c r="AD2" s="15">
        <f>H2*M2</f>
      </c>
      <c r="AE2" s="13">
        <f>H2*L2/100</f>
      </c>
      <c r="AF2" s="13">
        <f>AA2+AB2+AE2</f>
      </c>
      <c r="AG2" s="13">
        <f>I2+J2+L2</f>
      </c>
      <c r="AH2" s="18">
        <f>$H2*I2</f>
      </c>
      <c r="AI2" s="18">
        <f>$H2*J2</f>
      </c>
      <c r="AJ2" s="18">
        <f>$H2*K2</f>
      </c>
      <c r="AK2" s="18">
        <f>$H2*L2</f>
      </c>
      <c r="AL2" s="18">
        <f>$H2*M2</f>
      </c>
      <c r="AM2" s="14">
        <v>10000</v>
      </c>
      <c r="AN2" s="13">
        <v>0.01</v>
      </c>
      <c r="AO2" s="14">
        <f>AM2*AN2/100</f>
      </c>
    </row>
    <row x14ac:dyDescent="0.25" r="3" customHeight="1" ht="18">
      <c r="A3" s="2" t="s">
        <v>45</v>
      </c>
      <c r="B3" s="2" t="s">
        <v>39</v>
      </c>
      <c r="C3" s="2" t="s">
        <v>40</v>
      </c>
      <c r="D3" s="2" t="s">
        <v>41</v>
      </c>
      <c r="E3" s="12" t="s">
        <v>42</v>
      </c>
      <c r="F3" s="2" t="s">
        <v>43</v>
      </c>
      <c r="G3" s="2" t="s">
        <v>46</v>
      </c>
      <c r="H3" s="14">
        <v>12</v>
      </c>
      <c r="I3" s="13">
        <v>2.07</v>
      </c>
      <c r="J3" s="13">
        <v>6.5</v>
      </c>
      <c r="K3" s="14"/>
      <c r="L3" s="13"/>
      <c r="M3" s="13"/>
      <c r="N3" s="15"/>
      <c r="O3" s="16"/>
      <c r="P3" s="13"/>
      <c r="Q3" s="13"/>
      <c r="R3" s="17"/>
      <c r="S3" s="13"/>
      <c r="T3" s="17"/>
      <c r="U3" s="13"/>
      <c r="V3" s="16"/>
      <c r="W3" s="13"/>
      <c r="X3" s="13"/>
      <c r="Y3" s="14"/>
      <c r="Z3" s="2"/>
      <c r="AA3" s="13">
        <f>H3*I3/100</f>
      </c>
      <c r="AB3" s="13">
        <f>H3*J3/100</f>
      </c>
      <c r="AC3" s="15">
        <f>H3*K3</f>
      </c>
      <c r="AD3" s="15">
        <f>H3*M3</f>
      </c>
      <c r="AE3" s="13">
        <f>H3*L3/100</f>
      </c>
      <c r="AF3" s="13">
        <f>AA3+AB3+AE3</f>
      </c>
      <c r="AG3" s="13">
        <f>I3+J3+L3</f>
      </c>
      <c r="AH3" s="18">
        <f>$H3*I3</f>
      </c>
      <c r="AI3" s="18">
        <f>$H3*J3</f>
      </c>
      <c r="AJ3" s="18">
        <f>$H3*K3</f>
      </c>
      <c r="AK3" s="18">
        <f>$H3*L3</f>
      </c>
      <c r="AL3" s="18">
        <f>$H3*M3</f>
      </c>
      <c r="AM3" s="14"/>
      <c r="AN3" s="14"/>
      <c r="AO3" s="14"/>
    </row>
    <row x14ac:dyDescent="0.25" r="4" customHeight="1" ht="18">
      <c r="A4" s="2" t="s">
        <v>47</v>
      </c>
      <c r="B4" s="2" t="s">
        <v>39</v>
      </c>
      <c r="C4" s="2" t="s">
        <v>40</v>
      </c>
      <c r="D4" s="2" t="s">
        <v>41</v>
      </c>
      <c r="E4" s="12" t="s">
        <v>42</v>
      </c>
      <c r="F4" s="2" t="s">
        <v>43</v>
      </c>
      <c r="G4" s="2" t="s">
        <v>46</v>
      </c>
      <c r="H4" s="14">
        <v>38</v>
      </c>
      <c r="I4" s="13">
        <v>2.33</v>
      </c>
      <c r="J4" s="13">
        <v>3.52</v>
      </c>
      <c r="K4" s="14"/>
      <c r="L4" s="13"/>
      <c r="M4" s="13"/>
      <c r="N4" s="15"/>
      <c r="O4" s="16"/>
      <c r="P4" s="13"/>
      <c r="Q4" s="13"/>
      <c r="R4" s="17"/>
      <c r="S4" s="13"/>
      <c r="T4" s="17"/>
      <c r="U4" s="13"/>
      <c r="V4" s="16"/>
      <c r="W4" s="13"/>
      <c r="X4" s="13"/>
      <c r="Y4" s="14"/>
      <c r="Z4" s="2"/>
      <c r="AA4" s="13">
        <f>H4*I4/100</f>
      </c>
      <c r="AB4" s="13">
        <f>H4*J4/100</f>
      </c>
      <c r="AC4" s="15">
        <f>H4*K4</f>
      </c>
      <c r="AD4" s="15">
        <f>H4*M4</f>
      </c>
      <c r="AE4" s="13">
        <f>H4*L4/100</f>
      </c>
      <c r="AF4" s="13">
        <f>AA4+AB4+AE4</f>
      </c>
      <c r="AG4" s="13">
        <f>I4+J4+L4</f>
      </c>
      <c r="AH4" s="18">
        <f>$H4*I4</f>
      </c>
      <c r="AI4" s="18">
        <f>$H4*J4</f>
      </c>
      <c r="AJ4" s="18">
        <f>$H4*K4</f>
      </c>
      <c r="AK4" s="18">
        <f>$H4*L4</f>
      </c>
      <c r="AL4" s="18">
        <f>$H4*M4</f>
      </c>
      <c r="AM4" s="14"/>
      <c r="AN4" s="14"/>
      <c r="AO4" s="14"/>
    </row>
    <row x14ac:dyDescent="0.25" r="5" customHeight="1" ht="18">
      <c r="A5" s="2" t="s">
        <v>48</v>
      </c>
      <c r="B5" s="2" t="s">
        <v>39</v>
      </c>
      <c r="C5" s="2" t="s">
        <v>40</v>
      </c>
      <c r="D5" s="2" t="s">
        <v>41</v>
      </c>
      <c r="E5" s="12" t="s">
        <v>42</v>
      </c>
      <c r="F5" s="2" t="s">
        <v>43</v>
      </c>
      <c r="G5" s="2" t="s">
        <v>44</v>
      </c>
      <c r="H5" s="13">
        <v>1.6</v>
      </c>
      <c r="I5" s="13">
        <v>3.6</v>
      </c>
      <c r="J5" s="13">
        <v>18.4</v>
      </c>
      <c r="K5" s="14"/>
      <c r="L5" s="13"/>
      <c r="M5" s="13"/>
      <c r="N5" s="15"/>
      <c r="O5" s="16"/>
      <c r="P5" s="13"/>
      <c r="Q5" s="13"/>
      <c r="R5" s="17"/>
      <c r="S5" s="13"/>
      <c r="T5" s="17"/>
      <c r="U5" s="13"/>
      <c r="V5" s="16"/>
      <c r="W5" s="13"/>
      <c r="X5" s="13"/>
      <c r="Y5" s="14"/>
      <c r="Z5" s="2"/>
      <c r="AA5" s="13">
        <f>H5*I5/100</f>
      </c>
      <c r="AB5" s="13">
        <f>H5*J5/100</f>
      </c>
      <c r="AC5" s="15">
        <f>H5*K5</f>
      </c>
      <c r="AD5" s="15">
        <f>H5*M5</f>
      </c>
      <c r="AE5" s="13">
        <f>H5*L5/100</f>
      </c>
      <c r="AF5" s="13">
        <f>AA5+AB5+AE5</f>
      </c>
      <c r="AG5" s="13">
        <f>I5+J5+L5</f>
      </c>
      <c r="AH5" s="18">
        <f>$H5*I5</f>
      </c>
      <c r="AI5" s="18">
        <f>$H5*J5</f>
      </c>
      <c r="AJ5" s="18">
        <f>$H5*K5</f>
      </c>
      <c r="AK5" s="18">
        <f>$H5*L5</f>
      </c>
      <c r="AL5" s="18">
        <f>$H5*M5</f>
      </c>
      <c r="AM5" s="14">
        <v>1000</v>
      </c>
      <c r="AN5" s="13">
        <v>0.1</v>
      </c>
      <c r="AO5" s="14">
        <f>AM5*AN5/100</f>
      </c>
    </row>
    <row x14ac:dyDescent="0.25" r="6" customHeight="1" ht="18">
      <c r="A6" s="2" t="s">
        <v>49</v>
      </c>
      <c r="B6" s="2" t="s">
        <v>39</v>
      </c>
      <c r="C6" s="2" t="s">
        <v>50</v>
      </c>
      <c r="D6" s="2" t="s">
        <v>51</v>
      </c>
      <c r="E6" s="2" t="s">
        <v>52</v>
      </c>
      <c r="F6" s="2" t="s">
        <v>53</v>
      </c>
      <c r="G6" s="2" t="s">
        <v>54</v>
      </c>
      <c r="H6" s="13">
        <v>11.5</v>
      </c>
      <c r="I6" s="13">
        <v>2.6</v>
      </c>
      <c r="J6" s="13">
        <v>2.1</v>
      </c>
      <c r="K6" s="14">
        <v>95</v>
      </c>
      <c r="L6" s="13">
        <v>0.7</v>
      </c>
      <c r="M6" s="13"/>
      <c r="N6" s="15"/>
      <c r="O6" s="16"/>
      <c r="P6" s="13"/>
      <c r="Q6" s="13"/>
      <c r="R6" s="17"/>
      <c r="S6" s="13"/>
      <c r="T6" s="17"/>
      <c r="U6" s="13"/>
      <c r="V6" s="16"/>
      <c r="W6" s="13"/>
      <c r="X6" s="13"/>
      <c r="Y6" s="14"/>
      <c r="Z6" s="2"/>
      <c r="AA6" s="13">
        <f>H6*I6/100</f>
      </c>
      <c r="AB6" s="13">
        <f>H6*J6/100</f>
      </c>
      <c r="AC6" s="15">
        <f>H6*K6</f>
      </c>
      <c r="AD6" s="15">
        <f>H6*M6</f>
      </c>
      <c r="AE6" s="13">
        <f>H6*L6/100</f>
      </c>
      <c r="AF6" s="13">
        <f>AA6+AB6+AE6</f>
      </c>
      <c r="AG6" s="13">
        <f>I6+J6+L6</f>
      </c>
      <c r="AH6" s="18">
        <f>$H6*I6</f>
      </c>
      <c r="AI6" s="18">
        <f>$H6*J6</f>
      </c>
      <c r="AJ6" s="18">
        <f>$H6*K6</f>
      </c>
      <c r="AK6" s="18">
        <f>$H6*L6</f>
      </c>
      <c r="AL6" s="18">
        <f>$H6*M6</f>
      </c>
      <c r="AM6" s="14">
        <v>100</v>
      </c>
      <c r="AN6" s="14">
        <v>1</v>
      </c>
      <c r="AO6" s="14">
        <f>AM6*AN6/100</f>
      </c>
    </row>
    <row x14ac:dyDescent="0.25" r="7" customHeight="1" ht="18">
      <c r="A7" s="2" t="s">
        <v>55</v>
      </c>
      <c r="B7" s="2" t="s">
        <v>39</v>
      </c>
      <c r="C7" s="2" t="s">
        <v>56</v>
      </c>
      <c r="D7" s="2"/>
      <c r="E7" s="2" t="s">
        <v>52</v>
      </c>
      <c r="F7" s="2" t="s">
        <v>57</v>
      </c>
      <c r="G7" s="2" t="s">
        <v>58</v>
      </c>
      <c r="H7" s="13">
        <v>68.6</v>
      </c>
      <c r="I7" s="13">
        <v>1.1</v>
      </c>
      <c r="J7" s="13">
        <v>4.6</v>
      </c>
      <c r="K7" s="14"/>
      <c r="L7" s="13"/>
      <c r="M7" s="13"/>
      <c r="N7" s="15"/>
      <c r="O7" s="16"/>
      <c r="P7" s="13"/>
      <c r="Q7" s="13"/>
      <c r="R7" s="17"/>
      <c r="S7" s="13"/>
      <c r="T7" s="17"/>
      <c r="U7" s="13"/>
      <c r="V7" s="16"/>
      <c r="W7" s="13"/>
      <c r="X7" s="13"/>
      <c r="Y7" s="14"/>
      <c r="Z7" s="2"/>
      <c r="AA7" s="13">
        <f>H7*I7/100</f>
      </c>
      <c r="AB7" s="13">
        <f>H7*J7/100</f>
      </c>
      <c r="AC7" s="15">
        <f>H7*K7</f>
      </c>
      <c r="AD7" s="15">
        <f>H7*M7</f>
      </c>
      <c r="AE7" s="13">
        <f>H7*L7/100</f>
      </c>
      <c r="AF7" s="13">
        <f>AA7+AB7+AE7</f>
      </c>
      <c r="AG7" s="13">
        <f>I7+J7+L7</f>
      </c>
      <c r="AH7" s="18">
        <f>$H7*I7</f>
      </c>
      <c r="AI7" s="18">
        <f>$H7*J7</f>
      </c>
      <c r="AJ7" s="18">
        <f>$H7*K7</f>
      </c>
      <c r="AK7" s="18">
        <f>$H7*L7</f>
      </c>
      <c r="AL7" s="18">
        <f>$H7*M7</f>
      </c>
      <c r="AM7" s="14">
        <v>10</v>
      </c>
      <c r="AN7" s="14">
        <v>10</v>
      </c>
      <c r="AO7" s="14">
        <f>AM7*AN7/100</f>
      </c>
    </row>
    <row x14ac:dyDescent="0.25" r="8" customHeight="1" ht="18">
      <c r="A8" s="2" t="s">
        <v>59</v>
      </c>
      <c r="B8" s="2" t="s">
        <v>39</v>
      </c>
      <c r="C8" s="2" t="s">
        <v>50</v>
      </c>
      <c r="D8" s="2"/>
      <c r="E8" s="12" t="s">
        <v>42</v>
      </c>
      <c r="F8" s="2" t="s">
        <v>60</v>
      </c>
      <c r="G8" s="2" t="s">
        <v>61</v>
      </c>
      <c r="H8" s="16">
        <v>6.58504</v>
      </c>
      <c r="I8" s="13"/>
      <c r="J8" s="13">
        <v>1.65</v>
      </c>
      <c r="K8" s="14"/>
      <c r="L8" s="13">
        <v>0.55</v>
      </c>
      <c r="M8" s="13">
        <v>1.62</v>
      </c>
      <c r="N8" s="15"/>
      <c r="O8" s="16"/>
      <c r="P8" s="13"/>
      <c r="Q8" s="13"/>
      <c r="R8" s="17"/>
      <c r="S8" s="13"/>
      <c r="T8" s="17"/>
      <c r="U8" s="13"/>
      <c r="V8" s="16"/>
      <c r="W8" s="13"/>
      <c r="X8" s="13"/>
      <c r="Y8" s="14"/>
      <c r="Z8" s="2"/>
      <c r="AA8" s="13">
        <f>H8*I8/100</f>
      </c>
      <c r="AB8" s="13">
        <f>H8*J8/100</f>
      </c>
      <c r="AC8" s="15">
        <f>H8*K8</f>
      </c>
      <c r="AD8" s="15">
        <f>H8*M8</f>
      </c>
      <c r="AE8" s="13">
        <f>H8*L8/100</f>
      </c>
      <c r="AF8" s="13">
        <f>AA8+AB8+AE8</f>
      </c>
      <c r="AG8" s="13">
        <f>I8+J8+L8</f>
      </c>
      <c r="AH8" s="18">
        <f>$H8*I8</f>
      </c>
      <c r="AI8" s="18">
        <f>$H8*J8</f>
      </c>
      <c r="AJ8" s="18">
        <f>$H8*K8</f>
      </c>
      <c r="AK8" s="18">
        <f>$H8*L8</f>
      </c>
      <c r="AL8" s="18">
        <f>$H8*M8</f>
      </c>
      <c r="AM8" s="14">
        <v>1</v>
      </c>
      <c r="AN8" s="14">
        <v>100</v>
      </c>
      <c r="AO8" s="14">
        <f>AM8*AN8/100</f>
      </c>
    </row>
    <row x14ac:dyDescent="0.25" r="9" customHeight="1" ht="18">
      <c r="A9" s="2" t="s">
        <v>62</v>
      </c>
      <c r="B9" s="2" t="s">
        <v>63</v>
      </c>
      <c r="C9" s="2" t="s">
        <v>40</v>
      </c>
      <c r="D9" s="2" t="s">
        <v>64</v>
      </c>
      <c r="E9" s="2" t="s">
        <v>52</v>
      </c>
      <c r="F9" s="2" t="s">
        <v>65</v>
      </c>
      <c r="G9" s="2" t="s">
        <v>66</v>
      </c>
      <c r="H9" s="13">
        <f>2.22+4.8+1.8</f>
      </c>
      <c r="I9" s="15">
        <f>(6.08*2.22+3.5*4.8+5*1.8)/$H9</f>
      </c>
      <c r="J9" s="15">
        <f>(5.67*2.22+3.5*4.8+6*1.8)/$H9</f>
      </c>
      <c r="K9" s="17">
        <f>(128*2.22+84*4.8+100*1.8)/$H9</f>
      </c>
      <c r="L9" s="13"/>
      <c r="M9" s="13"/>
      <c r="N9" s="15"/>
      <c r="O9" s="16"/>
      <c r="P9" s="13"/>
      <c r="Q9" s="13"/>
      <c r="R9" s="17"/>
      <c r="S9" s="13"/>
      <c r="T9" s="17"/>
      <c r="U9" s="13"/>
      <c r="V9" s="16"/>
      <c r="W9" s="13"/>
      <c r="X9" s="13"/>
      <c r="Y9" s="14"/>
      <c r="Z9" s="2"/>
      <c r="AA9" s="13">
        <f>H9*I9/100</f>
      </c>
      <c r="AB9" s="13">
        <f>H9*J9/100</f>
      </c>
      <c r="AC9" s="15">
        <f>H9*K9</f>
      </c>
      <c r="AD9" s="15">
        <f>H9*M9</f>
      </c>
      <c r="AE9" s="13">
        <f>H9*L9/100</f>
      </c>
      <c r="AF9" s="13">
        <f>AA9+AB9+AE9</f>
      </c>
      <c r="AG9" s="13">
        <f>I9+J9+L9</f>
      </c>
      <c r="AH9" s="18">
        <f>$H9*I9</f>
      </c>
      <c r="AI9" s="18">
        <f>$H9*J9</f>
      </c>
      <c r="AJ9" s="18">
        <f>$H9*K9</f>
      </c>
      <c r="AK9" s="18">
        <f>$H9*L9</f>
      </c>
      <c r="AL9" s="18">
        <f>$H9*M9</f>
      </c>
      <c r="AM9" s="14"/>
      <c r="AN9" s="14"/>
      <c r="AO9" s="14"/>
    </row>
    <row x14ac:dyDescent="0.25" r="10" customHeight="1" ht="18">
      <c r="A10" s="2" t="s">
        <v>67</v>
      </c>
      <c r="B10" s="2" t="s">
        <v>63</v>
      </c>
      <c r="C10" s="2" t="s">
        <v>68</v>
      </c>
      <c r="D10" s="2"/>
      <c r="E10" s="2" t="s">
        <v>52</v>
      </c>
      <c r="F10" s="2" t="s">
        <v>69</v>
      </c>
      <c r="G10" s="2" t="s">
        <v>70</v>
      </c>
      <c r="H10" s="14">
        <f>389+1397</f>
      </c>
      <c r="I10" s="13">
        <f>(0.01*389+0.01*1397)/$H10</f>
      </c>
      <c r="J10" s="13">
        <f>(0.03*389+0.02*1397)/$H10</f>
      </c>
      <c r="K10" s="15">
        <f>(1.8*389+1.9*1397)/$H10</f>
      </c>
      <c r="L10" s="13">
        <f>(0.63*389+0.46*1397)/$H10</f>
      </c>
      <c r="M10" s="13">
        <f>(0.07*389+0.06*1397)/$H10</f>
      </c>
      <c r="N10" s="15"/>
      <c r="O10" s="16"/>
      <c r="P10" s="13"/>
      <c r="Q10" s="13"/>
      <c r="R10" s="17"/>
      <c r="S10" s="13"/>
      <c r="T10" s="17"/>
      <c r="U10" s="13"/>
      <c r="V10" s="16"/>
      <c r="W10" s="13"/>
      <c r="X10" s="13"/>
      <c r="Y10" s="14"/>
      <c r="Z10" s="2"/>
      <c r="AA10" s="13">
        <f>H10*I10/100</f>
      </c>
      <c r="AB10" s="13">
        <f>H10*J10/100</f>
      </c>
      <c r="AC10" s="15">
        <f>H10*K10</f>
      </c>
      <c r="AD10" s="15">
        <f>H10*M10</f>
      </c>
      <c r="AE10" s="13">
        <f>H10*L10/100</f>
      </c>
      <c r="AF10" s="13">
        <f>AA10+AB10+AE10</f>
      </c>
      <c r="AG10" s="13">
        <f>I10+J10+L10</f>
      </c>
      <c r="AH10" s="18">
        <f>$H10*I10</f>
      </c>
      <c r="AI10" s="18">
        <f>$H10*J10</f>
      </c>
      <c r="AJ10" s="18">
        <f>$H10*K10</f>
      </c>
      <c r="AK10" s="18">
        <f>$H10*L10</f>
      </c>
      <c r="AL10" s="18">
        <f>$H10*M10</f>
      </c>
      <c r="AM10" s="14"/>
      <c r="AN10" s="14"/>
      <c r="AO10" s="14"/>
    </row>
    <row x14ac:dyDescent="0.25" r="11" customHeight="1" ht="18">
      <c r="A11" s="2" t="s">
        <v>71</v>
      </c>
      <c r="B11" s="2" t="s">
        <v>63</v>
      </c>
      <c r="C11" s="2" t="s">
        <v>56</v>
      </c>
      <c r="D11" s="2"/>
      <c r="E11" s="2" t="s">
        <v>52</v>
      </c>
      <c r="F11" s="2" t="s">
        <v>72</v>
      </c>
      <c r="G11" s="2" t="s">
        <v>73</v>
      </c>
      <c r="H11" s="13">
        <f>15.4+139.8+45.9</f>
      </c>
      <c r="I11" s="13">
        <f>(1.44*15.4+0.79*139.8+0.57*45.9)/$H11</f>
      </c>
      <c r="J11" s="13"/>
      <c r="K11" s="17">
        <f>(137*15.4+126*139.8+81*45.9)/$H11</f>
      </c>
      <c r="L11" s="13">
        <f>(0.1*15.4+0.04*139.8+0.02*45.9)/$H11</f>
      </c>
      <c r="M11" s="13"/>
      <c r="N11" s="15"/>
      <c r="O11" s="16"/>
      <c r="P11" s="13"/>
      <c r="Q11" s="13"/>
      <c r="R11" s="17"/>
      <c r="S11" s="13"/>
      <c r="T11" s="17"/>
      <c r="U11" s="13"/>
      <c r="V11" s="16"/>
      <c r="W11" s="13"/>
      <c r="X11" s="13"/>
      <c r="Y11" s="14"/>
      <c r="Z11" s="2"/>
      <c r="AA11" s="13">
        <f>H11*I11/100</f>
      </c>
      <c r="AB11" s="13">
        <f>H11*J11/100</f>
      </c>
      <c r="AC11" s="15">
        <f>H11*K11</f>
      </c>
      <c r="AD11" s="15">
        <f>H11*M11</f>
      </c>
      <c r="AE11" s="13">
        <f>H11*L11/100</f>
      </c>
      <c r="AF11" s="13">
        <f>AA11+AB11+AE11</f>
      </c>
      <c r="AG11" s="13">
        <f>I11+J11+L11</f>
      </c>
      <c r="AH11" s="18">
        <f>$H11*I11</f>
      </c>
      <c r="AI11" s="18">
        <f>$H11*J11</f>
      </c>
      <c r="AJ11" s="18">
        <f>$H11*K11</f>
      </c>
      <c r="AK11" s="18">
        <f>$H11*L11</f>
      </c>
      <c r="AL11" s="18">
        <f>$H11*M11</f>
      </c>
      <c r="AM11" s="14">
        <v>10000</v>
      </c>
      <c r="AN11" s="13">
        <v>0.04</v>
      </c>
      <c r="AO11" s="14">
        <f>AM11*AN11/100</f>
      </c>
    </row>
    <row x14ac:dyDescent="0.25" r="12" customHeight="1" ht="18">
      <c r="A12" s="2" t="s">
        <v>74</v>
      </c>
      <c r="B12" s="2" t="s">
        <v>63</v>
      </c>
      <c r="C12" s="2" t="s">
        <v>56</v>
      </c>
      <c r="D12" s="2" t="s">
        <v>75</v>
      </c>
      <c r="E12" s="2" t="s">
        <v>52</v>
      </c>
      <c r="F12" s="2" t="s">
        <v>76</v>
      </c>
      <c r="G12" s="2" t="s">
        <v>77</v>
      </c>
      <c r="H12" s="13">
        <f>9.21+50.04</f>
      </c>
      <c r="I12" s="13">
        <f>(0.41*9.21+0.32*50.04)/$H12</f>
      </c>
      <c r="J12" s="13">
        <f>(1.21*9.21+0.84*50.04)/$H12</f>
      </c>
      <c r="K12" s="15">
        <f>(28.22*9.21+18.55*50.04)/$H12</f>
      </c>
      <c r="L12" s="13"/>
      <c r="M12" s="13">
        <f>(0.229*9.21+0.183*50.04)/$H12</f>
      </c>
      <c r="N12" s="15"/>
      <c r="O12" s="16"/>
      <c r="P12" s="13"/>
      <c r="Q12" s="13"/>
      <c r="R12" s="13">
        <f>(13.39*9.21+7.13*50.04)/$H12</f>
      </c>
      <c r="S12" s="13"/>
      <c r="T12" s="17"/>
      <c r="U12" s="13"/>
      <c r="V12" s="16"/>
      <c r="W12" s="13"/>
      <c r="X12" s="13"/>
      <c r="Y12" s="14"/>
      <c r="Z12" s="2"/>
      <c r="AA12" s="13">
        <f>H12*I12/100</f>
      </c>
      <c r="AB12" s="13">
        <f>H12*J12/100</f>
      </c>
      <c r="AC12" s="15">
        <f>H12*K12</f>
      </c>
      <c r="AD12" s="15">
        <f>H12*M12</f>
      </c>
      <c r="AE12" s="13">
        <f>H12*L12/100</f>
      </c>
      <c r="AF12" s="13">
        <f>AA12+AB12+AE12</f>
      </c>
      <c r="AG12" s="13">
        <f>I12+J12+L12</f>
      </c>
      <c r="AH12" s="18">
        <f>$H12*I12</f>
      </c>
      <c r="AI12" s="18">
        <f>$H12*J12</f>
      </c>
      <c r="AJ12" s="18">
        <f>$H12*K12</f>
      </c>
      <c r="AK12" s="18">
        <f>$H12*L12</f>
      </c>
      <c r="AL12" s="18">
        <f>$H12*M12</f>
      </c>
      <c r="AM12" s="14">
        <v>4000</v>
      </c>
      <c r="AN12" s="13">
        <v>0.1</v>
      </c>
      <c r="AO12" s="14">
        <f>AM12*AN12/100</f>
      </c>
    </row>
    <row x14ac:dyDescent="0.25" r="13" customHeight="1" ht="17.25">
      <c r="A13" s="2" t="s">
        <v>78</v>
      </c>
      <c r="B13" s="2" t="s">
        <v>63</v>
      </c>
      <c r="C13" s="2" t="s">
        <v>56</v>
      </c>
      <c r="D13" s="2" t="s">
        <v>79</v>
      </c>
      <c r="E13" s="2" t="s">
        <v>52</v>
      </c>
      <c r="F13" s="2" t="s">
        <v>80</v>
      </c>
      <c r="G13" s="2" t="s">
        <v>73</v>
      </c>
      <c r="H13" s="13">
        <f>7.9+19.2+1.1+5.4</f>
      </c>
      <c r="I13" s="13"/>
      <c r="J13" s="13">
        <f>(0.35*7.9+1.73*19.2+1.39*1.1+2.38*5.4)/$H13</f>
      </c>
      <c r="K13" s="15">
        <f>(210*7.9+162*19.2+125*1.1+162*5.4)/$H13</f>
      </c>
      <c r="L13" s="13"/>
      <c r="M13" s="13"/>
      <c r="N13" s="15"/>
      <c r="O13" s="16"/>
      <c r="P13" s="13"/>
      <c r="Q13" s="13"/>
      <c r="R13" s="17"/>
      <c r="S13" s="13"/>
      <c r="T13" s="17"/>
      <c r="U13" s="13"/>
      <c r="V13" s="16"/>
      <c r="W13" s="13"/>
      <c r="X13" s="13"/>
      <c r="Y13" s="14"/>
      <c r="Z13" s="2"/>
      <c r="AA13" s="13">
        <f>H13*I13/100</f>
      </c>
      <c r="AB13" s="13">
        <f>H13*J13/100</f>
      </c>
      <c r="AC13" s="15">
        <f>H13*K13</f>
      </c>
      <c r="AD13" s="15">
        <f>H13*M13</f>
      </c>
      <c r="AE13" s="13">
        <f>H13*L13/100</f>
      </c>
      <c r="AF13" s="13">
        <f>AA13+AB13+AE13</f>
      </c>
      <c r="AG13" s="13">
        <f>I13+J13+L13</f>
      </c>
      <c r="AH13" s="18">
        <f>$H13*I13</f>
      </c>
      <c r="AI13" s="18">
        <f>$H13*J13</f>
      </c>
      <c r="AJ13" s="18">
        <f>$H13*K13</f>
      </c>
      <c r="AK13" s="18">
        <f>$H13*L13</f>
      </c>
      <c r="AL13" s="18">
        <f>$H13*M13</f>
      </c>
      <c r="AM13" s="14">
        <v>400</v>
      </c>
      <c r="AN13" s="14">
        <v>1</v>
      </c>
      <c r="AO13" s="14">
        <f>AM13*AN13/100</f>
      </c>
    </row>
    <row x14ac:dyDescent="0.25" r="14" customHeight="1" ht="17.25">
      <c r="A14" s="2" t="s">
        <v>81</v>
      </c>
      <c r="B14" s="2" t="s">
        <v>82</v>
      </c>
      <c r="C14" s="2" t="s">
        <v>50</v>
      </c>
      <c r="D14" s="2"/>
      <c r="E14" s="12" t="s">
        <v>42</v>
      </c>
      <c r="F14" s="2" t="s">
        <v>43</v>
      </c>
      <c r="G14" s="2" t="s">
        <v>83</v>
      </c>
      <c r="H14" s="13">
        <v>1.2</v>
      </c>
      <c r="I14" s="13">
        <v>1.67</v>
      </c>
      <c r="J14" s="13">
        <v>4.48</v>
      </c>
      <c r="K14" s="14">
        <v>104</v>
      </c>
      <c r="L14" s="13">
        <v>0.58</v>
      </c>
      <c r="M14" s="13">
        <v>1.3</v>
      </c>
      <c r="N14" s="15"/>
      <c r="O14" s="16"/>
      <c r="P14" s="13"/>
      <c r="Q14" s="13"/>
      <c r="R14" s="17"/>
      <c r="S14" s="13"/>
      <c r="T14" s="17"/>
      <c r="U14" s="13"/>
      <c r="V14" s="16"/>
      <c r="W14" s="13"/>
      <c r="X14" s="13"/>
      <c r="Y14" s="14"/>
      <c r="Z14" s="2"/>
      <c r="AA14" s="13">
        <f>H14*I14/100</f>
      </c>
      <c r="AB14" s="13">
        <f>H14*J14/100</f>
      </c>
      <c r="AC14" s="15">
        <f>H14*K14</f>
      </c>
      <c r="AD14" s="15">
        <f>H14*M14</f>
      </c>
      <c r="AE14" s="13">
        <f>H14*L14/100</f>
      </c>
      <c r="AF14" s="13">
        <f>AA14+AB14+AE14</f>
      </c>
      <c r="AG14" s="13">
        <f>I14+J14+L14</f>
      </c>
      <c r="AH14" s="18">
        <f>$H14*I14</f>
      </c>
      <c r="AI14" s="18">
        <f>$H14*J14</f>
      </c>
      <c r="AJ14" s="18">
        <f>$H14*K14</f>
      </c>
      <c r="AK14" s="18">
        <f>$H14*L14</f>
      </c>
      <c r="AL14" s="18">
        <f>$H14*M14</f>
      </c>
      <c r="AM14" s="14">
        <v>40</v>
      </c>
      <c r="AN14" s="14">
        <v>10</v>
      </c>
      <c r="AO14" s="14">
        <f>AM14*AN14/100</f>
      </c>
    </row>
    <row x14ac:dyDescent="0.25" r="15" customHeight="1" ht="17.25">
      <c r="A15" s="2" t="s">
        <v>84</v>
      </c>
      <c r="B15" s="2" t="s">
        <v>82</v>
      </c>
      <c r="C15" s="2" t="s">
        <v>50</v>
      </c>
      <c r="D15" s="2"/>
      <c r="E15" s="12" t="s">
        <v>42</v>
      </c>
      <c r="F15" s="2" t="s">
        <v>85</v>
      </c>
      <c r="G15" s="2" t="s">
        <v>86</v>
      </c>
      <c r="H15" s="15">
        <f>18*0.9072</f>
      </c>
      <c r="I15" s="15">
        <v>1</v>
      </c>
      <c r="J15" s="13">
        <v>2.2</v>
      </c>
      <c r="K15" s="14">
        <v>10</v>
      </c>
      <c r="L15" s="13">
        <v>0.9</v>
      </c>
      <c r="M15" s="13">
        <v>0.9</v>
      </c>
      <c r="N15" s="15"/>
      <c r="O15" s="16"/>
      <c r="P15" s="13"/>
      <c r="Q15" s="13"/>
      <c r="R15" s="17"/>
      <c r="S15" s="13"/>
      <c r="T15" s="17"/>
      <c r="U15" s="13"/>
      <c r="V15" s="16"/>
      <c r="W15" s="13"/>
      <c r="X15" s="13"/>
      <c r="Y15" s="14"/>
      <c r="Z15" s="2"/>
      <c r="AA15" s="13">
        <f>H15*I15/100</f>
      </c>
      <c r="AB15" s="13">
        <f>H15*J15/100</f>
      </c>
      <c r="AC15" s="15">
        <f>H15*K15</f>
      </c>
      <c r="AD15" s="15">
        <f>H15*M15</f>
      </c>
      <c r="AE15" s="13">
        <f>H15*L15/100</f>
      </c>
      <c r="AF15" s="13">
        <f>AA15+AB15+AE15</f>
      </c>
      <c r="AG15" s="13">
        <f>I15+J15+L15</f>
      </c>
      <c r="AH15" s="18">
        <f>$H15*I15</f>
      </c>
      <c r="AI15" s="18">
        <f>$H15*J15</f>
      </c>
      <c r="AJ15" s="18">
        <f>$H15*K15</f>
      </c>
      <c r="AK15" s="18">
        <f>$H15*L15</f>
      </c>
      <c r="AL15" s="18">
        <f>$H15*M15</f>
      </c>
      <c r="AM15" s="14"/>
      <c r="AN15" s="14"/>
      <c r="AO15" s="14"/>
    </row>
    <row x14ac:dyDescent="0.25" r="16" customHeight="1" ht="17.25">
      <c r="A16" s="2" t="s">
        <v>87</v>
      </c>
      <c r="B16" s="2" t="s">
        <v>82</v>
      </c>
      <c r="C16" s="2" t="s">
        <v>56</v>
      </c>
      <c r="D16" s="2" t="s">
        <v>79</v>
      </c>
      <c r="E16" s="2" t="s">
        <v>52</v>
      </c>
      <c r="F16" s="2" t="s">
        <v>88</v>
      </c>
      <c r="G16" s="2" t="s">
        <v>73</v>
      </c>
      <c r="H16" s="13">
        <f>2.8+10.6</f>
      </c>
      <c r="I16" s="15">
        <f>(0.2*2.8+0.1*10.6)/$H16</f>
      </c>
      <c r="J16" s="13">
        <f>(2.06*2.8+1.66*10.6)/$H16</f>
      </c>
      <c r="K16" s="15">
        <f>(49.82*2.8+41.18*10.6)/$H16</f>
      </c>
      <c r="L16" s="13">
        <f>(0.39*2.8+0.42*10.6)/$H16</f>
      </c>
      <c r="M16" s="15">
        <f>(2.6*2.8+2.3*10.6)/$H16</f>
      </c>
      <c r="N16" s="15"/>
      <c r="O16" s="16"/>
      <c r="P16" s="13"/>
      <c r="Q16" s="13"/>
      <c r="R16" s="17"/>
      <c r="S16" s="13"/>
      <c r="T16" s="17"/>
      <c r="U16" s="13"/>
      <c r="V16" s="16"/>
      <c r="W16" s="13"/>
      <c r="X16" s="13"/>
      <c r="Y16" s="14"/>
      <c r="Z16" s="2"/>
      <c r="AA16" s="13">
        <f>H16*I16/100</f>
      </c>
      <c r="AB16" s="13">
        <f>H16*J16/100</f>
      </c>
      <c r="AC16" s="15">
        <f>H16*K16</f>
      </c>
      <c r="AD16" s="15">
        <f>H16*M16</f>
      </c>
      <c r="AE16" s="13">
        <f>H16*L16/100</f>
      </c>
      <c r="AF16" s="13">
        <f>AA16+AB16+AE16</f>
      </c>
      <c r="AG16" s="13">
        <f>I16+J16+L16</f>
      </c>
      <c r="AH16" s="18">
        <f>$H16*I16</f>
      </c>
      <c r="AI16" s="18">
        <f>$H16*J16</f>
      </c>
      <c r="AJ16" s="18">
        <f>$H16*K16</f>
      </c>
      <c r="AK16" s="18">
        <f>$H16*L16</f>
      </c>
      <c r="AL16" s="18">
        <f>$H16*M16</f>
      </c>
      <c r="AM16" s="14"/>
      <c r="AN16" s="14"/>
      <c r="AO16" s="14"/>
    </row>
    <row x14ac:dyDescent="0.25" r="17" customHeight="1" ht="17.25">
      <c r="A17" s="2" t="s">
        <v>89</v>
      </c>
      <c r="B17" s="2" t="s">
        <v>82</v>
      </c>
      <c r="C17" s="2" t="s">
        <v>50</v>
      </c>
      <c r="D17" s="2"/>
      <c r="E17" s="12" t="s">
        <v>42</v>
      </c>
      <c r="F17" s="2" t="s">
        <v>43</v>
      </c>
      <c r="G17" s="2" t="s">
        <v>90</v>
      </c>
      <c r="H17" s="13">
        <v>4.5</v>
      </c>
      <c r="I17" s="13">
        <v>1.71</v>
      </c>
      <c r="J17" s="13">
        <v>4.96</v>
      </c>
      <c r="K17" s="13">
        <v>8.1</v>
      </c>
      <c r="L17" s="13">
        <v>3.54</v>
      </c>
      <c r="M17" s="13"/>
      <c r="N17" s="15"/>
      <c r="O17" s="16"/>
      <c r="P17" s="13"/>
      <c r="Q17" s="13"/>
      <c r="R17" s="17"/>
      <c r="S17" s="13"/>
      <c r="T17" s="17"/>
      <c r="U17" s="13"/>
      <c r="V17" s="16"/>
      <c r="W17" s="13"/>
      <c r="X17" s="13"/>
      <c r="Y17" s="14"/>
      <c r="Z17" s="2"/>
      <c r="AA17" s="13">
        <f>H17*I17/100</f>
      </c>
      <c r="AB17" s="13">
        <f>H17*J17/100</f>
      </c>
      <c r="AC17" s="15">
        <f>H17*K17</f>
      </c>
      <c r="AD17" s="15">
        <f>H17*M17</f>
      </c>
      <c r="AE17" s="13">
        <f>H17*L17/100</f>
      </c>
      <c r="AF17" s="13">
        <f>AA17+AB17+AE17</f>
      </c>
      <c r="AG17" s="13">
        <f>I17+J17+L17</f>
      </c>
      <c r="AH17" s="18">
        <f>$H17*I17</f>
      </c>
      <c r="AI17" s="18">
        <f>$H17*J17</f>
      </c>
      <c r="AJ17" s="18">
        <f>$H17*K17</f>
      </c>
      <c r="AK17" s="18">
        <f>$H17*L17</f>
      </c>
      <c r="AL17" s="18">
        <f>$H17*M17</f>
      </c>
      <c r="AM17" s="14">
        <v>4</v>
      </c>
      <c r="AN17" s="14">
        <v>100</v>
      </c>
      <c r="AO17" s="14">
        <f>AM17*AN17/100</f>
      </c>
    </row>
    <row x14ac:dyDescent="0.25" r="18" customHeight="1" ht="17.25">
      <c r="A18" s="2" t="s">
        <v>91</v>
      </c>
      <c r="B18" s="2" t="s">
        <v>82</v>
      </c>
      <c r="C18" s="2" t="s">
        <v>56</v>
      </c>
      <c r="D18" s="2" t="s">
        <v>75</v>
      </c>
      <c r="E18" s="12" t="s">
        <v>42</v>
      </c>
      <c r="F18" s="2" t="s">
        <v>92</v>
      </c>
      <c r="G18" s="2" t="s">
        <v>93</v>
      </c>
      <c r="H18" s="13">
        <v>15.4</v>
      </c>
      <c r="I18" s="13">
        <v>1.1</v>
      </c>
      <c r="J18" s="13">
        <v>1.21</v>
      </c>
      <c r="K18" s="13">
        <v>92.1</v>
      </c>
      <c r="L18" s="13">
        <v>0.8</v>
      </c>
      <c r="M18" s="13">
        <v>2.31</v>
      </c>
      <c r="N18" s="15"/>
      <c r="O18" s="16"/>
      <c r="P18" s="13"/>
      <c r="Q18" s="13"/>
      <c r="R18" s="17"/>
      <c r="S18" s="13"/>
      <c r="T18" s="17"/>
      <c r="U18" s="13"/>
      <c r="V18" s="16"/>
      <c r="W18" s="13"/>
      <c r="X18" s="13"/>
      <c r="Y18" s="14"/>
      <c r="Z18" s="2"/>
      <c r="AA18" s="13">
        <f>H18*I18/100</f>
      </c>
      <c r="AB18" s="13">
        <f>H18*J18/100</f>
      </c>
      <c r="AC18" s="15">
        <f>H18*K18</f>
      </c>
      <c r="AD18" s="15">
        <f>H18*M18</f>
      </c>
      <c r="AE18" s="13">
        <f>H18*L18/100</f>
      </c>
      <c r="AF18" s="13">
        <f>AA18+AB18+AE18</f>
      </c>
      <c r="AG18" s="13">
        <f>I18+J18+L18</f>
      </c>
      <c r="AH18" s="18">
        <f>$H18*I18</f>
      </c>
      <c r="AI18" s="18">
        <f>$H18*J18</f>
      </c>
      <c r="AJ18" s="18">
        <f>$H18*K18</f>
      </c>
      <c r="AK18" s="18">
        <f>$H18*L18</f>
      </c>
      <c r="AL18" s="18">
        <f>$H18*M18</f>
      </c>
      <c r="AM18" s="14"/>
      <c r="AN18" s="14"/>
      <c r="AO18" s="14"/>
    </row>
    <row x14ac:dyDescent="0.25" r="19" customHeight="1" ht="17.25">
      <c r="A19" s="2" t="s">
        <v>94</v>
      </c>
      <c r="B19" s="2" t="s">
        <v>95</v>
      </c>
      <c r="C19" s="2" t="s">
        <v>40</v>
      </c>
      <c r="D19" s="2" t="s">
        <v>41</v>
      </c>
      <c r="E19" s="2" t="s">
        <v>52</v>
      </c>
      <c r="F19" s="2" t="s">
        <v>96</v>
      </c>
      <c r="G19" s="2" t="s">
        <v>97</v>
      </c>
      <c r="H19" s="13">
        <v>96.7</v>
      </c>
      <c r="I19" s="13">
        <v>2.9</v>
      </c>
      <c r="J19" s="13">
        <v>2.4</v>
      </c>
      <c r="K19" s="14">
        <v>15</v>
      </c>
      <c r="L19" s="13"/>
      <c r="M19" s="13"/>
      <c r="N19" s="15">
        <v>16</v>
      </c>
      <c r="O19" s="16"/>
      <c r="P19" s="13"/>
      <c r="Q19" s="13"/>
      <c r="R19" s="17"/>
      <c r="S19" s="13"/>
      <c r="T19" s="17"/>
      <c r="U19" s="13"/>
      <c r="V19" s="16"/>
      <c r="W19" s="13"/>
      <c r="X19" s="13"/>
      <c r="Y19" s="14"/>
      <c r="Z19" s="2"/>
      <c r="AA19" s="13">
        <f>H19*I19/100</f>
      </c>
      <c r="AB19" s="13">
        <f>H19*J19/100</f>
      </c>
      <c r="AC19" s="15">
        <f>H19*K19</f>
      </c>
      <c r="AD19" s="15">
        <f>H19*M19</f>
      </c>
      <c r="AE19" s="13">
        <f>H19*L19/100</f>
      </c>
      <c r="AF19" s="13">
        <f>AA19+AB19+AE19</f>
      </c>
      <c r="AG19" s="13">
        <f>I19+J19+L19</f>
      </c>
      <c r="AH19" s="18">
        <f>$H19*I19</f>
      </c>
      <c r="AI19" s="18">
        <f>$H19*J19</f>
      </c>
      <c r="AJ19" s="18">
        <f>$H19*K19</f>
      </c>
      <c r="AK19" s="18">
        <f>$H19*L19</f>
      </c>
      <c r="AL19" s="18">
        <f>$H19*M19</f>
      </c>
      <c r="AM19" s="14"/>
      <c r="AN19" s="14"/>
      <c r="AO19" s="14"/>
    </row>
    <row x14ac:dyDescent="0.25" r="20" customHeight="1" ht="17.25">
      <c r="A20" s="2" t="s">
        <v>98</v>
      </c>
      <c r="B20" s="2" t="s">
        <v>95</v>
      </c>
      <c r="C20" s="2" t="s">
        <v>50</v>
      </c>
      <c r="D20" s="2"/>
      <c r="E20" s="2" t="s">
        <v>52</v>
      </c>
      <c r="F20" s="2" t="s">
        <v>99</v>
      </c>
      <c r="G20" s="2" t="s">
        <v>100</v>
      </c>
      <c r="H20" s="16">
        <v>0.056719</v>
      </c>
      <c r="I20" s="13">
        <v>1.22</v>
      </c>
      <c r="J20" s="13">
        <v>4.41</v>
      </c>
      <c r="K20" s="13">
        <v>32.7</v>
      </c>
      <c r="L20" s="13"/>
      <c r="M20" s="13"/>
      <c r="N20" s="15"/>
      <c r="O20" s="16"/>
      <c r="P20" s="13"/>
      <c r="Q20" s="13"/>
      <c r="R20" s="17"/>
      <c r="S20" s="13"/>
      <c r="T20" s="17"/>
      <c r="U20" s="13"/>
      <c r="V20" s="16"/>
      <c r="W20" s="13"/>
      <c r="X20" s="13"/>
      <c r="Y20" s="14"/>
      <c r="Z20" s="2"/>
      <c r="AA20" s="13">
        <f>H20*I20/100</f>
      </c>
      <c r="AB20" s="13">
        <f>H20*J20/100</f>
      </c>
      <c r="AC20" s="15">
        <f>H20*K20</f>
      </c>
      <c r="AD20" s="15">
        <f>H20*M20</f>
      </c>
      <c r="AE20" s="13">
        <f>H20*L20/100</f>
      </c>
      <c r="AF20" s="13">
        <f>AA20+AB20+AE20</f>
      </c>
      <c r="AG20" s="13">
        <f>I20+J20+L20</f>
      </c>
      <c r="AH20" s="18">
        <f>$H20*I20</f>
      </c>
      <c r="AI20" s="18">
        <f>$H20*J20</f>
      </c>
      <c r="AJ20" s="18">
        <f>$H20*K20</f>
      </c>
      <c r="AK20" s="18">
        <f>$H20*L20</f>
      </c>
      <c r="AL20" s="18">
        <f>$H20*M20</f>
      </c>
      <c r="AM20" s="14"/>
      <c r="AN20" s="14"/>
      <c r="AO20" s="14"/>
    </row>
    <row x14ac:dyDescent="0.25" r="21" customHeight="1" ht="17.25">
      <c r="A21" s="2" t="s">
        <v>101</v>
      </c>
      <c r="B21" s="2" t="s">
        <v>95</v>
      </c>
      <c r="C21" s="2" t="s">
        <v>40</v>
      </c>
      <c r="D21" s="2" t="s">
        <v>64</v>
      </c>
      <c r="E21" s="2" t="s">
        <v>52</v>
      </c>
      <c r="F21" s="2" t="s">
        <v>102</v>
      </c>
      <c r="G21" s="2" t="s">
        <v>103</v>
      </c>
      <c r="H21" s="13">
        <v>5.8</v>
      </c>
      <c r="I21" s="15">
        <v>4</v>
      </c>
      <c r="J21" s="13">
        <v>0.5</v>
      </c>
      <c r="K21" s="14">
        <v>40</v>
      </c>
      <c r="L21" s="13"/>
      <c r="M21" s="13"/>
      <c r="N21" s="15"/>
      <c r="O21" s="16"/>
      <c r="P21" s="13"/>
      <c r="Q21" s="13"/>
      <c r="R21" s="17"/>
      <c r="S21" s="13"/>
      <c r="T21" s="17"/>
      <c r="U21" s="13"/>
      <c r="V21" s="16"/>
      <c r="W21" s="13"/>
      <c r="X21" s="13"/>
      <c r="Y21" s="14"/>
      <c r="Z21" s="2"/>
      <c r="AA21" s="13">
        <f>H21*I21/100</f>
      </c>
      <c r="AB21" s="13">
        <f>H21*J21/100</f>
      </c>
      <c r="AC21" s="15">
        <f>H21*K21</f>
      </c>
      <c r="AD21" s="15">
        <f>H21*M21</f>
      </c>
      <c r="AE21" s="13">
        <f>H21*L21/100</f>
      </c>
      <c r="AF21" s="13">
        <f>AA21+AB21+AE21</f>
      </c>
      <c r="AG21" s="13">
        <f>I21+J21+L21</f>
      </c>
      <c r="AH21" s="18">
        <f>$H21*I21</f>
      </c>
      <c r="AI21" s="18">
        <f>$H21*J21</f>
      </c>
      <c r="AJ21" s="18">
        <f>$H21*K21</f>
      </c>
      <c r="AK21" s="18">
        <f>$H21*L21</f>
      </c>
      <c r="AL21" s="18">
        <f>$H21*M21</f>
      </c>
      <c r="AM21" s="14"/>
      <c r="AN21" s="14"/>
      <c r="AO21" s="14"/>
    </row>
    <row x14ac:dyDescent="0.25" r="22" customHeight="1" ht="17.25">
      <c r="A22" s="2" t="s">
        <v>104</v>
      </c>
      <c r="B22" s="2" t="s">
        <v>95</v>
      </c>
      <c r="C22" s="2" t="s">
        <v>50</v>
      </c>
      <c r="D22" s="2"/>
      <c r="E22" s="2" t="s">
        <v>52</v>
      </c>
      <c r="F22" s="2" t="s">
        <v>105</v>
      </c>
      <c r="G22" s="2" t="s">
        <v>106</v>
      </c>
      <c r="H22" s="16">
        <v>0.876831</v>
      </c>
      <c r="I22" s="13"/>
      <c r="J22" s="13">
        <v>1.97</v>
      </c>
      <c r="K22" s="14">
        <v>6</v>
      </c>
      <c r="L22" s="13">
        <v>0.96</v>
      </c>
      <c r="M22" s="13"/>
      <c r="N22" s="15"/>
      <c r="O22" s="16"/>
      <c r="P22" s="13"/>
      <c r="Q22" s="13"/>
      <c r="R22" s="17"/>
      <c r="S22" s="13"/>
      <c r="T22" s="17"/>
      <c r="U22" s="13"/>
      <c r="V22" s="16"/>
      <c r="W22" s="13"/>
      <c r="X22" s="13"/>
      <c r="Y22" s="14"/>
      <c r="Z22" s="2"/>
      <c r="AA22" s="13">
        <f>H22*I22/100</f>
      </c>
      <c r="AB22" s="13">
        <f>H22*J22/100</f>
      </c>
      <c r="AC22" s="15">
        <f>H22*K22</f>
      </c>
      <c r="AD22" s="15">
        <f>H22*M22</f>
      </c>
      <c r="AE22" s="13">
        <f>H22*L22/100</f>
      </c>
      <c r="AF22" s="13">
        <f>AA22+AB22+AE22</f>
      </c>
      <c r="AG22" s="13">
        <f>I22+J22+L22</f>
      </c>
      <c r="AH22" s="18">
        <f>$H22*I22</f>
      </c>
      <c r="AI22" s="18">
        <f>$H22*J22</f>
      </c>
      <c r="AJ22" s="18">
        <f>$H22*K22</f>
      </c>
      <c r="AK22" s="18">
        <f>$H22*L22</f>
      </c>
      <c r="AL22" s="18">
        <f>$H22*M22</f>
      </c>
      <c r="AM22" s="14"/>
      <c r="AN22" s="14"/>
      <c r="AO22" s="14"/>
    </row>
    <row x14ac:dyDescent="0.25" r="23" customHeight="1" ht="17.25">
      <c r="A23" s="2" t="s">
        <v>107</v>
      </c>
      <c r="B23" s="2" t="s">
        <v>95</v>
      </c>
      <c r="C23" s="2" t="s">
        <v>40</v>
      </c>
      <c r="D23" s="2" t="s">
        <v>64</v>
      </c>
      <c r="E23" s="2" t="s">
        <v>52</v>
      </c>
      <c r="F23" s="2" t="s">
        <v>57</v>
      </c>
      <c r="G23" s="2" t="s">
        <v>108</v>
      </c>
      <c r="H23" s="13">
        <v>0.91</v>
      </c>
      <c r="I23" s="13">
        <v>1.7</v>
      </c>
      <c r="J23" s="13">
        <v>4.2</v>
      </c>
      <c r="K23" s="15">
        <v>31.059375124956194</v>
      </c>
      <c r="L23" s="19">
        <v>0.22</v>
      </c>
      <c r="M23" s="19">
        <v>0.5</v>
      </c>
      <c r="N23" s="15"/>
      <c r="O23" s="16"/>
      <c r="P23" s="13"/>
      <c r="Q23" s="13"/>
      <c r="R23" s="17"/>
      <c r="S23" s="13"/>
      <c r="T23" s="17"/>
      <c r="U23" s="13"/>
      <c r="V23" s="16"/>
      <c r="W23" s="13"/>
      <c r="X23" s="13"/>
      <c r="Y23" s="14"/>
      <c r="Z23" s="2"/>
      <c r="AA23" s="13">
        <f>H23*I23/100</f>
      </c>
      <c r="AB23" s="13">
        <f>H23*J23/100</f>
      </c>
      <c r="AC23" s="15">
        <f>H23*K23</f>
      </c>
      <c r="AD23" s="15">
        <f>H23*M23</f>
      </c>
      <c r="AE23" s="13">
        <f>H23*L23/100</f>
      </c>
      <c r="AF23" s="13">
        <f>AA23+AB23+AE23</f>
      </c>
      <c r="AG23" s="13">
        <f>I23+J23+L23</f>
      </c>
      <c r="AH23" s="18">
        <f>$H23*I23</f>
      </c>
      <c r="AI23" s="18">
        <f>$H23*J23</f>
      </c>
      <c r="AJ23" s="18">
        <f>$H23*K23</f>
      </c>
      <c r="AK23" s="18">
        <f>$H23*L23</f>
      </c>
      <c r="AL23" s="18">
        <f>$H23*M23</f>
      </c>
      <c r="AM23" s="14"/>
      <c r="AN23" s="14"/>
      <c r="AO23" s="14"/>
    </row>
    <row x14ac:dyDescent="0.25" r="24" customHeight="1" ht="17.25">
      <c r="A24" s="2" t="s">
        <v>109</v>
      </c>
      <c r="B24" s="2" t="s">
        <v>95</v>
      </c>
      <c r="C24" s="2" t="s">
        <v>110</v>
      </c>
      <c r="D24" s="2" t="s">
        <v>111</v>
      </c>
      <c r="E24" s="2" t="s">
        <v>52</v>
      </c>
      <c r="F24" s="2" t="s">
        <v>112</v>
      </c>
      <c r="G24" s="2" t="s">
        <v>113</v>
      </c>
      <c r="H24" s="13">
        <v>12.2</v>
      </c>
      <c r="I24" s="13">
        <v>0.56</v>
      </c>
      <c r="J24" s="13"/>
      <c r="K24" s="14"/>
      <c r="L24" s="13">
        <v>0.49</v>
      </c>
      <c r="M24" s="13"/>
      <c r="N24" s="15"/>
      <c r="O24" s="13">
        <v>0.14</v>
      </c>
      <c r="P24" s="13">
        <v>0.14</v>
      </c>
      <c r="Q24" s="13"/>
      <c r="R24" s="17"/>
      <c r="S24" s="13"/>
      <c r="T24" s="17"/>
      <c r="U24" s="13"/>
      <c r="V24" s="16"/>
      <c r="W24" s="13"/>
      <c r="X24" s="13"/>
      <c r="Y24" s="14"/>
      <c r="Z24" s="2"/>
      <c r="AA24" s="13">
        <f>H24*I24/100</f>
      </c>
      <c r="AB24" s="13">
        <f>H24*J24/100</f>
      </c>
      <c r="AC24" s="15">
        <f>H24*K24</f>
      </c>
      <c r="AD24" s="15">
        <f>H24*M24</f>
      </c>
      <c r="AE24" s="13">
        <f>H24*L24/100</f>
      </c>
      <c r="AF24" s="13">
        <f>AA24+AB24+AE24</f>
      </c>
      <c r="AG24" s="13">
        <f>I24+J24+L24</f>
      </c>
      <c r="AH24" s="18">
        <f>$H24*I24</f>
      </c>
      <c r="AI24" s="18">
        <f>$H24*J24</f>
      </c>
      <c r="AJ24" s="18">
        <f>$H24*K24</f>
      </c>
      <c r="AK24" s="18">
        <f>$H24*L24</f>
      </c>
      <c r="AL24" s="18">
        <f>$H24*M24</f>
      </c>
      <c r="AM24" s="14"/>
      <c r="AN24" s="14"/>
      <c r="AO24" s="14"/>
    </row>
    <row x14ac:dyDescent="0.25" r="25" customHeight="1" ht="17.25">
      <c r="A25" s="2" t="s">
        <v>114</v>
      </c>
      <c r="B25" s="2" t="s">
        <v>95</v>
      </c>
      <c r="C25" s="2" t="s">
        <v>50</v>
      </c>
      <c r="D25" s="2"/>
      <c r="E25" s="2" t="s">
        <v>52</v>
      </c>
      <c r="F25" s="2" t="s">
        <v>96</v>
      </c>
      <c r="G25" s="2" t="s">
        <v>97</v>
      </c>
      <c r="H25" s="16">
        <v>2.976637</v>
      </c>
      <c r="I25" s="13">
        <v>2.1415765161813343</v>
      </c>
      <c r="J25" s="13">
        <v>5.057954659593077</v>
      </c>
      <c r="K25" s="15">
        <v>39.29066376374061</v>
      </c>
      <c r="L25" s="13">
        <v>1.5926444352859215</v>
      </c>
      <c r="M25" s="13">
        <v>0.40780120508843704</v>
      </c>
      <c r="N25" s="15"/>
      <c r="O25" s="16"/>
      <c r="P25" s="13"/>
      <c r="Q25" s="13"/>
      <c r="R25" s="17"/>
      <c r="S25" s="13"/>
      <c r="T25" s="17"/>
      <c r="U25" s="13"/>
      <c r="V25" s="16"/>
      <c r="W25" s="13"/>
      <c r="X25" s="13"/>
      <c r="Y25" s="14"/>
      <c r="Z25" s="2"/>
      <c r="AA25" s="13">
        <f>H25*I25/100</f>
      </c>
      <c r="AB25" s="13">
        <f>H25*J25/100</f>
      </c>
      <c r="AC25" s="15">
        <f>H25*K25</f>
      </c>
      <c r="AD25" s="15">
        <f>H25*M25</f>
      </c>
      <c r="AE25" s="13">
        <f>H25*L25/100</f>
      </c>
      <c r="AF25" s="13">
        <f>AA25+AB25+AE25</f>
      </c>
      <c r="AG25" s="13">
        <f>I25+J25+L25</f>
      </c>
      <c r="AH25" s="18">
        <f>$H25*I25</f>
      </c>
      <c r="AI25" s="18">
        <f>$H25*J25</f>
      </c>
      <c r="AJ25" s="18">
        <f>$H25*K25</f>
      </c>
      <c r="AK25" s="18">
        <f>$H25*L25</f>
      </c>
      <c r="AL25" s="18">
        <f>$H25*M25</f>
      </c>
      <c r="AM25" s="14"/>
      <c r="AN25" s="14"/>
      <c r="AO25" s="14"/>
    </row>
    <row x14ac:dyDescent="0.25" r="26" customHeight="1" ht="17.25">
      <c r="A26" s="2" t="s">
        <v>115</v>
      </c>
      <c r="B26" s="2" t="s">
        <v>95</v>
      </c>
      <c r="C26" s="2" t="s">
        <v>56</v>
      </c>
      <c r="D26" s="2" t="s">
        <v>79</v>
      </c>
      <c r="E26" s="2" t="s">
        <v>52</v>
      </c>
      <c r="F26" s="2" t="s">
        <v>116</v>
      </c>
      <c r="G26" s="2" t="s">
        <v>106</v>
      </c>
      <c r="H26" s="16">
        <v>0.095</v>
      </c>
      <c r="I26" s="13">
        <v>2.08</v>
      </c>
      <c r="J26" s="15"/>
      <c r="K26" s="17"/>
      <c r="L26" s="13"/>
      <c r="M26" s="13">
        <v>0.2</v>
      </c>
      <c r="N26" s="15"/>
      <c r="O26" s="16"/>
      <c r="P26" s="13"/>
      <c r="Q26" s="13"/>
      <c r="R26" s="17"/>
      <c r="S26" s="13"/>
      <c r="T26" s="17"/>
      <c r="U26" s="13"/>
      <c r="V26" s="16"/>
      <c r="W26" s="13"/>
      <c r="X26" s="13"/>
      <c r="Y26" s="14"/>
      <c r="Z26" s="2"/>
      <c r="AA26" s="13">
        <f>H26*I26/100</f>
      </c>
      <c r="AB26" s="13">
        <f>H26*J26/100</f>
      </c>
      <c r="AC26" s="15">
        <f>H26*K26</f>
      </c>
      <c r="AD26" s="15">
        <f>H26*M26</f>
      </c>
      <c r="AE26" s="13">
        <f>H26*L26/100</f>
      </c>
      <c r="AF26" s="13">
        <f>AA26+AB26+AE26</f>
      </c>
      <c r="AG26" s="13">
        <f>I26+J26+L26</f>
      </c>
      <c r="AH26" s="18">
        <f>$H26*I26</f>
      </c>
      <c r="AI26" s="18">
        <f>$H26*J26</f>
      </c>
      <c r="AJ26" s="18">
        <f>$H26*K26</f>
      </c>
      <c r="AK26" s="18">
        <f>$H26*L26</f>
      </c>
      <c r="AL26" s="18">
        <f>$H26*M26</f>
      </c>
      <c r="AM26" s="14"/>
      <c r="AN26" s="14"/>
      <c r="AO26" s="14"/>
    </row>
    <row x14ac:dyDescent="0.25" r="27" customHeight="1" ht="17.25">
      <c r="A27" s="2" t="s">
        <v>117</v>
      </c>
      <c r="B27" s="2" t="s">
        <v>95</v>
      </c>
      <c r="C27" s="2" t="s">
        <v>50</v>
      </c>
      <c r="D27" s="2"/>
      <c r="E27" s="2" t="s">
        <v>52</v>
      </c>
      <c r="F27" s="2" t="s">
        <v>118</v>
      </c>
      <c r="G27" s="2" t="s">
        <v>119</v>
      </c>
      <c r="H27" s="16">
        <v>2.5</v>
      </c>
      <c r="I27" s="13">
        <v>1.2</v>
      </c>
      <c r="J27" s="15">
        <v>2</v>
      </c>
      <c r="K27" s="17">
        <v>36</v>
      </c>
      <c r="L27" s="13">
        <v>1.8</v>
      </c>
      <c r="M27" s="13">
        <v>0.14</v>
      </c>
      <c r="N27" s="15"/>
      <c r="O27" s="16"/>
      <c r="P27" s="13"/>
      <c r="Q27" s="13"/>
      <c r="R27" s="17"/>
      <c r="S27" s="13"/>
      <c r="T27" s="17"/>
      <c r="U27" s="13"/>
      <c r="V27" s="16"/>
      <c r="W27" s="13"/>
      <c r="X27" s="13"/>
      <c r="Y27" s="14"/>
      <c r="Z27" s="2"/>
      <c r="AA27" s="13">
        <f>H27*I27/100</f>
      </c>
      <c r="AB27" s="13">
        <f>H27*J27/100</f>
      </c>
      <c r="AC27" s="15">
        <f>H27*K27</f>
      </c>
      <c r="AD27" s="15">
        <f>H27*M27</f>
      </c>
      <c r="AE27" s="13">
        <f>H27*L27/100</f>
      </c>
      <c r="AF27" s="13">
        <f>AA27+AB27+AE27</f>
      </c>
      <c r="AG27" s="13">
        <f>I27+J27+L27</f>
      </c>
      <c r="AH27" s="18">
        <f>$H27*I27</f>
      </c>
      <c r="AI27" s="18">
        <f>$H27*J27</f>
      </c>
      <c r="AJ27" s="18">
        <f>$H27*K27</f>
      </c>
      <c r="AK27" s="18">
        <f>$H27*L27</f>
      </c>
      <c r="AL27" s="18">
        <f>$H27*M27</f>
      </c>
      <c r="AM27" s="14"/>
      <c r="AN27" s="14"/>
      <c r="AO27" s="14"/>
    </row>
    <row x14ac:dyDescent="0.25" r="28" customHeight="1" ht="17.25">
      <c r="A28" s="2" t="s">
        <v>120</v>
      </c>
      <c r="B28" s="2" t="s">
        <v>95</v>
      </c>
      <c r="C28" s="2" t="s">
        <v>50</v>
      </c>
      <c r="D28" s="2"/>
      <c r="E28" s="2" t="s">
        <v>52</v>
      </c>
      <c r="F28" s="2" t="s">
        <v>121</v>
      </c>
      <c r="G28" s="2" t="s">
        <v>122</v>
      </c>
      <c r="H28" s="16">
        <v>2.545049</v>
      </c>
      <c r="I28" s="13">
        <v>1.1</v>
      </c>
      <c r="J28" s="13">
        <v>3.75</v>
      </c>
      <c r="K28" s="13">
        <v>39.61</v>
      </c>
      <c r="L28" s="13">
        <v>0.4</v>
      </c>
      <c r="M28" s="13"/>
      <c r="N28" s="15"/>
      <c r="O28" s="16"/>
      <c r="P28" s="13"/>
      <c r="Q28" s="13"/>
      <c r="R28" s="17"/>
      <c r="S28" s="13"/>
      <c r="T28" s="17"/>
      <c r="U28" s="13"/>
      <c r="V28" s="16"/>
      <c r="W28" s="13"/>
      <c r="X28" s="13"/>
      <c r="Y28" s="14"/>
      <c r="Z28" s="2"/>
      <c r="AA28" s="13">
        <f>H28*I28/100</f>
      </c>
      <c r="AB28" s="13">
        <f>H28*J28/100</f>
      </c>
      <c r="AC28" s="15">
        <f>H28*K28</f>
      </c>
      <c r="AD28" s="15">
        <f>H28*M28</f>
      </c>
      <c r="AE28" s="13">
        <f>H28*L28/100</f>
      </c>
      <c r="AF28" s="13">
        <f>AA28+AB28+AE28</f>
      </c>
      <c r="AG28" s="13">
        <f>I28+J28+L28</f>
      </c>
      <c r="AH28" s="18">
        <f>$H28*I28</f>
      </c>
      <c r="AI28" s="18">
        <f>$H28*J28</f>
      </c>
      <c r="AJ28" s="18">
        <f>$H28*K28</f>
      </c>
      <c r="AK28" s="18">
        <f>$H28*L28</f>
      </c>
      <c r="AL28" s="18">
        <f>$H28*M28</f>
      </c>
      <c r="AM28" s="14"/>
      <c r="AN28" s="14"/>
      <c r="AO28" s="14"/>
    </row>
    <row x14ac:dyDescent="0.25" r="29" customHeight="1" ht="17.25">
      <c r="A29" s="2" t="s">
        <v>123</v>
      </c>
      <c r="B29" s="2" t="s">
        <v>95</v>
      </c>
      <c r="C29" s="2" t="s">
        <v>50</v>
      </c>
      <c r="D29" s="2"/>
      <c r="E29" s="2" t="s">
        <v>52</v>
      </c>
      <c r="F29" s="2" t="s">
        <v>124</v>
      </c>
      <c r="G29" s="2" t="s">
        <v>108</v>
      </c>
      <c r="H29" s="13">
        <v>2.771</v>
      </c>
      <c r="I29" s="13"/>
      <c r="J29" s="13">
        <v>9.6</v>
      </c>
      <c r="K29" s="14">
        <v>139</v>
      </c>
      <c r="L29" s="13">
        <v>1.9</v>
      </c>
      <c r="M29" s="13">
        <v>0.8</v>
      </c>
      <c r="N29" s="15"/>
      <c r="O29" s="16"/>
      <c r="P29" s="13"/>
      <c r="Q29" s="13"/>
      <c r="R29" s="17"/>
      <c r="S29" s="13"/>
      <c r="T29" s="17"/>
      <c r="U29" s="13"/>
      <c r="V29" s="16"/>
      <c r="W29" s="13"/>
      <c r="X29" s="13"/>
      <c r="Y29" s="14"/>
      <c r="Z29" s="2"/>
      <c r="AA29" s="13">
        <f>H29*I29/100</f>
      </c>
      <c r="AB29" s="13">
        <f>H29*J29/100</f>
      </c>
      <c r="AC29" s="15">
        <f>H29*K29</f>
      </c>
      <c r="AD29" s="15">
        <f>H29*M29</f>
      </c>
      <c r="AE29" s="13">
        <f>H29*L29/100</f>
      </c>
      <c r="AF29" s="13">
        <f>AA29+AB29+AE29</f>
      </c>
      <c r="AG29" s="13">
        <f>I29+J29+L29</f>
      </c>
      <c r="AH29" s="18">
        <f>$H29*I29</f>
      </c>
      <c r="AI29" s="18">
        <f>$H29*J29</f>
      </c>
      <c r="AJ29" s="18">
        <f>$H29*K29</f>
      </c>
      <c r="AK29" s="18">
        <f>$H29*L29</f>
      </c>
      <c r="AL29" s="18">
        <f>$H29*M29</f>
      </c>
      <c r="AM29" s="14"/>
      <c r="AN29" s="14"/>
      <c r="AO29" s="14"/>
    </row>
    <row x14ac:dyDescent="0.25" r="30" customHeight="1" ht="17.25">
      <c r="A30" s="2" t="s">
        <v>125</v>
      </c>
      <c r="B30" s="2" t="s">
        <v>95</v>
      </c>
      <c r="C30" s="2" t="s">
        <v>56</v>
      </c>
      <c r="D30" s="2" t="s">
        <v>75</v>
      </c>
      <c r="E30" s="2" t="s">
        <v>52</v>
      </c>
      <c r="F30" s="2" t="s">
        <v>126</v>
      </c>
      <c r="G30" s="2" t="s">
        <v>108</v>
      </c>
      <c r="H30" s="15">
        <v>88</v>
      </c>
      <c r="I30" s="13">
        <v>0.29</v>
      </c>
      <c r="J30" s="13">
        <v>0.39</v>
      </c>
      <c r="K30" s="13">
        <v>47.4</v>
      </c>
      <c r="L30" s="13"/>
      <c r="M30" s="13"/>
      <c r="N30" s="15"/>
      <c r="O30" s="16"/>
      <c r="P30" s="13"/>
      <c r="Q30" s="13"/>
      <c r="R30" s="17"/>
      <c r="S30" s="13"/>
      <c r="T30" s="17"/>
      <c r="U30" s="13"/>
      <c r="V30" s="16"/>
      <c r="W30" s="13"/>
      <c r="X30" s="13"/>
      <c r="Y30" s="14"/>
      <c r="Z30" s="2"/>
      <c r="AA30" s="13">
        <f>H30*I30/100</f>
      </c>
      <c r="AB30" s="13">
        <f>H30*J30/100</f>
      </c>
      <c r="AC30" s="15">
        <f>H30*K30</f>
      </c>
      <c r="AD30" s="15">
        <f>H30*M30</f>
      </c>
      <c r="AE30" s="13">
        <f>H30*L30/100</f>
      </c>
      <c r="AF30" s="13">
        <f>AA30+AB30+AE30</f>
      </c>
      <c r="AG30" s="13">
        <f>I30+J30+L30</f>
      </c>
      <c r="AH30" s="18">
        <f>$H30*I30</f>
      </c>
      <c r="AI30" s="18">
        <f>$H30*J30</f>
      </c>
      <c r="AJ30" s="18">
        <f>$H30*K30</f>
      </c>
      <c r="AK30" s="18">
        <f>$H30*L30</f>
      </c>
      <c r="AL30" s="18">
        <f>$H30*M30</f>
      </c>
      <c r="AM30" s="14"/>
      <c r="AN30" s="14"/>
      <c r="AO30" s="14"/>
    </row>
    <row x14ac:dyDescent="0.25" r="31" customHeight="1" ht="17.25">
      <c r="A31" s="2" t="s">
        <v>127</v>
      </c>
      <c r="B31" s="2" t="s">
        <v>95</v>
      </c>
      <c r="C31" s="2" t="s">
        <v>40</v>
      </c>
      <c r="D31" s="2" t="s">
        <v>64</v>
      </c>
      <c r="E31" s="2" t="s">
        <v>52</v>
      </c>
      <c r="F31" s="2" t="s">
        <v>128</v>
      </c>
      <c r="G31" s="2" t="s">
        <v>129</v>
      </c>
      <c r="H31" s="13">
        <v>21.7</v>
      </c>
      <c r="I31" s="15">
        <v>7</v>
      </c>
      <c r="J31" s="13">
        <v>9.2</v>
      </c>
      <c r="K31" s="14">
        <v>89</v>
      </c>
      <c r="L31" s="13"/>
      <c r="M31" s="13"/>
      <c r="N31" s="15"/>
      <c r="O31" s="16"/>
      <c r="P31" s="13"/>
      <c r="Q31" s="13"/>
      <c r="R31" s="17"/>
      <c r="S31" s="13"/>
      <c r="T31" s="17"/>
      <c r="U31" s="13"/>
      <c r="V31" s="16"/>
      <c r="W31" s="13"/>
      <c r="X31" s="13"/>
      <c r="Y31" s="14"/>
      <c r="Z31" s="2"/>
      <c r="AA31" s="13">
        <f>H31*I31/100</f>
      </c>
      <c r="AB31" s="13">
        <f>H31*J31/100</f>
      </c>
      <c r="AC31" s="15">
        <f>H31*K31</f>
      </c>
      <c r="AD31" s="15">
        <f>H31*M31</f>
      </c>
      <c r="AE31" s="13">
        <f>H31*L31/100</f>
      </c>
      <c r="AF31" s="13">
        <f>AA31+AB31+AE31</f>
      </c>
      <c r="AG31" s="13">
        <f>I31+J31+L31</f>
      </c>
      <c r="AH31" s="18">
        <f>$H31*I31</f>
      </c>
      <c r="AI31" s="18">
        <f>$H31*J31</f>
      </c>
      <c r="AJ31" s="18">
        <f>$H31*K31</f>
      </c>
      <c r="AK31" s="18">
        <f>$H31*L31</f>
      </c>
      <c r="AL31" s="18">
        <f>$H31*M31</f>
      </c>
      <c r="AM31" s="14"/>
      <c r="AN31" s="14"/>
      <c r="AO31" s="14"/>
    </row>
    <row x14ac:dyDescent="0.25" r="32" customHeight="1" ht="17.25">
      <c r="A32" s="2" t="s">
        <v>130</v>
      </c>
      <c r="B32" s="2" t="s">
        <v>95</v>
      </c>
      <c r="C32" s="2" t="s">
        <v>40</v>
      </c>
      <c r="D32" s="2" t="s">
        <v>64</v>
      </c>
      <c r="E32" s="2" t="s">
        <v>52</v>
      </c>
      <c r="F32" s="2" t="s">
        <v>131</v>
      </c>
      <c r="G32" s="2" t="s">
        <v>132</v>
      </c>
      <c r="H32" s="13">
        <v>16.503</v>
      </c>
      <c r="I32" s="15">
        <v>5.147355026358843</v>
      </c>
      <c r="J32" s="15">
        <v>6.60997394413137</v>
      </c>
      <c r="K32" s="17">
        <v>89.09580076349754</v>
      </c>
      <c r="L32" s="13"/>
      <c r="M32" s="13"/>
      <c r="N32" s="15"/>
      <c r="O32" s="16"/>
      <c r="P32" s="13"/>
      <c r="Q32" s="13"/>
      <c r="R32" s="17"/>
      <c r="S32" s="13"/>
      <c r="T32" s="17"/>
      <c r="U32" s="13"/>
      <c r="V32" s="16"/>
      <c r="W32" s="13"/>
      <c r="X32" s="13"/>
      <c r="Y32" s="14"/>
      <c r="Z32" s="2"/>
      <c r="AA32" s="13">
        <f>H32*I32/100</f>
      </c>
      <c r="AB32" s="13">
        <f>H32*J32/100</f>
      </c>
      <c r="AC32" s="15">
        <f>H32*K32</f>
      </c>
      <c r="AD32" s="15">
        <f>H32*M32</f>
      </c>
      <c r="AE32" s="13">
        <f>H32*L32/100</f>
      </c>
      <c r="AF32" s="13">
        <f>AA32+AB32+AE32</f>
      </c>
      <c r="AG32" s="13">
        <f>I32+J32+L32</f>
      </c>
      <c r="AH32" s="18">
        <f>$H32*I32</f>
      </c>
      <c r="AI32" s="18">
        <f>$H32*J32</f>
      </c>
      <c r="AJ32" s="18">
        <f>$H32*K32</f>
      </c>
      <c r="AK32" s="18">
        <f>$H32*L32</f>
      </c>
      <c r="AL32" s="18">
        <f>$H32*M32</f>
      </c>
      <c r="AM32" s="14"/>
      <c r="AN32" s="14"/>
      <c r="AO32" s="14"/>
    </row>
    <row x14ac:dyDescent="0.25" r="33" customHeight="1" ht="17.25">
      <c r="A33" s="2" t="s">
        <v>133</v>
      </c>
      <c r="B33" s="2" t="s">
        <v>95</v>
      </c>
      <c r="C33" s="2" t="s">
        <v>134</v>
      </c>
      <c r="D33" s="2"/>
      <c r="E33" s="2" t="s">
        <v>52</v>
      </c>
      <c r="F33" s="2" t="s">
        <v>135</v>
      </c>
      <c r="G33" s="2" t="s">
        <v>136</v>
      </c>
      <c r="H33" s="13">
        <v>20.5</v>
      </c>
      <c r="I33" s="13">
        <v>1.1</v>
      </c>
      <c r="J33" s="14">
        <v>2</v>
      </c>
      <c r="K33" s="14">
        <v>9</v>
      </c>
      <c r="L33" s="13">
        <v>0.1</v>
      </c>
      <c r="M33" s="13"/>
      <c r="N33" s="15"/>
      <c r="O33" s="16"/>
      <c r="P33" s="13"/>
      <c r="Q33" s="13"/>
      <c r="R33" s="17"/>
      <c r="S33" s="13"/>
      <c r="T33" s="17"/>
      <c r="U33" s="13"/>
      <c r="V33" s="16"/>
      <c r="W33" s="13"/>
      <c r="X33" s="13"/>
      <c r="Y33" s="14"/>
      <c r="Z33" s="2"/>
      <c r="AA33" s="13">
        <f>H33*I33/100</f>
      </c>
      <c r="AB33" s="13">
        <f>H33*J33/100</f>
      </c>
      <c r="AC33" s="15">
        <f>H33*K33</f>
      </c>
      <c r="AD33" s="15">
        <f>H33*M33</f>
      </c>
      <c r="AE33" s="13">
        <f>H33*L33/100</f>
      </c>
      <c r="AF33" s="13">
        <f>AA33+AB33+AE33</f>
      </c>
      <c r="AG33" s="13">
        <f>I33+J33+L33</f>
      </c>
      <c r="AH33" s="18">
        <f>$H33*I33</f>
      </c>
      <c r="AI33" s="18">
        <f>$H33*J33</f>
      </c>
      <c r="AJ33" s="18">
        <f>$H33*K33</f>
      </c>
      <c r="AK33" s="18">
        <f>$H33*L33</f>
      </c>
      <c r="AL33" s="18">
        <f>$H33*M33</f>
      </c>
      <c r="AM33" s="14"/>
      <c r="AN33" s="14"/>
      <c r="AO33" s="14"/>
    </row>
    <row x14ac:dyDescent="0.25" r="34" customHeight="1" ht="17.25">
      <c r="A34" s="2" t="s">
        <v>137</v>
      </c>
      <c r="B34" s="2" t="s">
        <v>95</v>
      </c>
      <c r="C34" s="2" t="s">
        <v>111</v>
      </c>
      <c r="D34" s="2"/>
      <c r="E34" s="2" t="s">
        <v>52</v>
      </c>
      <c r="F34" s="2" t="s">
        <v>138</v>
      </c>
      <c r="G34" s="2" t="s">
        <v>139</v>
      </c>
      <c r="H34" s="13">
        <v>54.5</v>
      </c>
      <c r="I34" s="13">
        <v>3.094935779816514</v>
      </c>
      <c r="J34" s="13">
        <v>0.6040917431192661</v>
      </c>
      <c r="K34" s="20">
        <v>12.143120567375886</v>
      </c>
      <c r="L34" s="13">
        <v>0.4310642201834863</v>
      </c>
      <c r="M34" s="13"/>
      <c r="N34" s="15"/>
      <c r="O34" s="16">
        <v>0.08207339449541286</v>
      </c>
      <c r="P34" s="13">
        <v>0.09862385321100918</v>
      </c>
      <c r="Q34" s="13"/>
      <c r="R34" s="17"/>
      <c r="S34" s="13"/>
      <c r="T34" s="17"/>
      <c r="U34" s="13"/>
      <c r="V34" s="16"/>
      <c r="W34" s="13"/>
      <c r="X34" s="13"/>
      <c r="Y34" s="14"/>
      <c r="Z34" s="2"/>
      <c r="AA34" s="13">
        <f>H34*I34/100</f>
      </c>
      <c r="AB34" s="13">
        <f>H34*J34/100</f>
      </c>
      <c r="AC34" s="15">
        <f>H34*K34</f>
      </c>
      <c r="AD34" s="15">
        <f>H34*M34</f>
      </c>
      <c r="AE34" s="13">
        <f>H34*L34/100</f>
      </c>
      <c r="AF34" s="13">
        <f>AA34+AB34+AE34</f>
      </c>
      <c r="AG34" s="13">
        <f>I34+J34+L34</f>
      </c>
      <c r="AH34" s="18">
        <f>$H34*I34</f>
      </c>
      <c r="AI34" s="18">
        <f>$H34*J34</f>
      </c>
      <c r="AJ34" s="18">
        <f>$H34*K34</f>
      </c>
      <c r="AK34" s="18">
        <f>$H34*L34</f>
      </c>
      <c r="AL34" s="18">
        <f>$H34*M34</f>
      </c>
      <c r="AM34" s="14"/>
      <c r="AN34" s="14"/>
      <c r="AO34" s="14"/>
    </row>
    <row x14ac:dyDescent="0.25" r="35" customHeight="1" ht="17.25">
      <c r="A35" s="2" t="s">
        <v>140</v>
      </c>
      <c r="B35" s="2" t="s">
        <v>95</v>
      </c>
      <c r="C35" s="2" t="s">
        <v>40</v>
      </c>
      <c r="D35" s="2" t="s">
        <v>64</v>
      </c>
      <c r="E35" s="2" t="s">
        <v>52</v>
      </c>
      <c r="F35" s="2" t="s">
        <v>141</v>
      </c>
      <c r="G35" s="2" t="s">
        <v>139</v>
      </c>
      <c r="H35" s="15">
        <v>1</v>
      </c>
      <c r="I35" s="13">
        <v>6.5</v>
      </c>
      <c r="J35" s="15">
        <v>11</v>
      </c>
      <c r="K35" s="14"/>
      <c r="L35" s="13"/>
      <c r="M35" s="13"/>
      <c r="N35" s="15"/>
      <c r="O35" s="16"/>
      <c r="P35" s="13"/>
      <c r="Q35" s="13"/>
      <c r="R35" s="17"/>
      <c r="S35" s="13"/>
      <c r="T35" s="17"/>
      <c r="U35" s="13"/>
      <c r="V35" s="16"/>
      <c r="W35" s="13"/>
      <c r="X35" s="13"/>
      <c r="Y35" s="14"/>
      <c r="Z35" s="2"/>
      <c r="AA35" s="13">
        <f>H35*I35/100</f>
      </c>
      <c r="AB35" s="13">
        <f>H35*J35/100</f>
      </c>
      <c r="AC35" s="15">
        <f>H35*K35</f>
      </c>
      <c r="AD35" s="15">
        <f>H35*M35</f>
      </c>
      <c r="AE35" s="13">
        <f>H35*L35/100</f>
      </c>
      <c r="AF35" s="13">
        <f>AA35+AB35+AE35</f>
      </c>
      <c r="AG35" s="13">
        <f>I35+J35+L35</f>
      </c>
      <c r="AH35" s="18">
        <f>$H35*I35</f>
      </c>
      <c r="AI35" s="18">
        <f>$H35*J35</f>
      </c>
      <c r="AJ35" s="18">
        <f>$H35*K35</f>
      </c>
      <c r="AK35" s="18">
        <f>$H35*L35</f>
      </c>
      <c r="AL35" s="18">
        <f>$H35*M35</f>
      </c>
      <c r="AM35" s="14"/>
      <c r="AN35" s="14"/>
      <c r="AO35" s="14"/>
    </row>
    <row x14ac:dyDescent="0.25" r="36" customHeight="1" ht="17.25">
      <c r="A36" s="2" t="s">
        <v>142</v>
      </c>
      <c r="B36" s="2" t="s">
        <v>95</v>
      </c>
      <c r="C36" s="2" t="s">
        <v>50</v>
      </c>
      <c r="D36" s="2"/>
      <c r="E36" s="12" t="s">
        <v>42</v>
      </c>
      <c r="F36" s="2" t="s">
        <v>143</v>
      </c>
      <c r="G36" s="2" t="s">
        <v>144</v>
      </c>
      <c r="H36" s="13">
        <f>0.004+0.023+0.09</f>
      </c>
      <c r="I36" s="15">
        <f>(14.2*0.004+5.3*0.023+2.1*0.09)/$H36</f>
      </c>
      <c r="J36" s="15">
        <f>(34.5*0.004+11.3*0.023+7.4*0.09)/$H36</f>
      </c>
      <c r="K36" s="17">
        <f>(92*0.004+41*0.023+47*0.09)/$H36</f>
      </c>
      <c r="L36" s="13">
        <f>(0.81*0.004+0.79*0.023+0*0.09)/$H36</f>
      </c>
      <c r="M36" s="13">
        <f>(3.75*0.004+2.52*0.023+0*0.09)/$H36</f>
      </c>
      <c r="N36" s="15"/>
      <c r="O36" s="16"/>
      <c r="P36" s="13"/>
      <c r="Q36" s="13"/>
      <c r="R36" s="17"/>
      <c r="S36" s="13"/>
      <c r="T36" s="17"/>
      <c r="U36" s="13"/>
      <c r="V36" s="16"/>
      <c r="W36" s="13"/>
      <c r="X36" s="13"/>
      <c r="Y36" s="14"/>
      <c r="Z36" s="2"/>
      <c r="AA36" s="13">
        <f>H36*I36/100</f>
      </c>
      <c r="AB36" s="13">
        <f>H36*J36/100</f>
      </c>
      <c r="AC36" s="15">
        <f>H36*K36</f>
      </c>
      <c r="AD36" s="15">
        <f>H36*M36</f>
      </c>
      <c r="AE36" s="13">
        <f>H36*L36/100</f>
      </c>
      <c r="AF36" s="13">
        <f>AA36+AB36+AE36</f>
      </c>
      <c r="AG36" s="13">
        <f>I36+J36+L36</f>
      </c>
      <c r="AH36" s="18">
        <f>$H36*I36</f>
      </c>
      <c r="AI36" s="18">
        <f>$H36*J36</f>
      </c>
      <c r="AJ36" s="18">
        <f>$H36*K36</f>
      </c>
      <c r="AK36" s="18">
        <f>$H36*L36</f>
      </c>
      <c r="AL36" s="18">
        <f>$H36*M36</f>
      </c>
      <c r="AM36" s="14"/>
      <c r="AN36" s="14"/>
      <c r="AO36" s="14"/>
    </row>
    <row x14ac:dyDescent="0.25" r="37" customHeight="1" ht="17.25">
      <c r="A37" s="2" t="s">
        <v>145</v>
      </c>
      <c r="B37" s="2" t="s">
        <v>95</v>
      </c>
      <c r="C37" s="2" t="s">
        <v>50</v>
      </c>
      <c r="D37" s="2"/>
      <c r="E37" s="2" t="s">
        <v>52</v>
      </c>
      <c r="F37" s="2" t="s">
        <v>146</v>
      </c>
      <c r="G37" s="2" t="s">
        <v>147</v>
      </c>
      <c r="H37" s="13">
        <v>3.175</v>
      </c>
      <c r="I37" s="13">
        <v>0.76</v>
      </c>
      <c r="J37" s="13">
        <v>3.3</v>
      </c>
      <c r="K37" s="14">
        <v>101</v>
      </c>
      <c r="L37" s="13">
        <v>0.19</v>
      </c>
      <c r="M37" s="13">
        <v>2.1</v>
      </c>
      <c r="N37" s="15"/>
      <c r="O37" s="16"/>
      <c r="P37" s="13"/>
      <c r="Q37" s="13"/>
      <c r="R37" s="17"/>
      <c r="S37" s="13"/>
      <c r="T37" s="17"/>
      <c r="U37" s="13"/>
      <c r="V37" s="16"/>
      <c r="W37" s="13"/>
      <c r="X37" s="13"/>
      <c r="Y37" s="14"/>
      <c r="Z37" s="2"/>
      <c r="AA37" s="13">
        <f>H37*I37/100</f>
      </c>
      <c r="AB37" s="13">
        <f>H37*J37/100</f>
      </c>
      <c r="AC37" s="15">
        <f>H37*K37</f>
      </c>
      <c r="AD37" s="15">
        <f>H37*M37</f>
      </c>
      <c r="AE37" s="13">
        <f>H37*L37/100</f>
      </c>
      <c r="AF37" s="13">
        <f>AA37+AB37+AE37</f>
      </c>
      <c r="AG37" s="13">
        <f>I37+J37+L37</f>
      </c>
      <c r="AH37" s="18">
        <f>$H37*I37</f>
      </c>
      <c r="AI37" s="18">
        <f>$H37*J37</f>
      </c>
      <c r="AJ37" s="18">
        <f>$H37*K37</f>
      </c>
      <c r="AK37" s="18">
        <f>$H37*L37</f>
      </c>
      <c r="AL37" s="18">
        <f>$H37*M37</f>
      </c>
      <c r="AM37" s="14"/>
      <c r="AN37" s="14"/>
      <c r="AO37" s="14"/>
    </row>
    <row x14ac:dyDescent="0.25" r="38" customHeight="1" ht="17.25">
      <c r="A38" s="2" t="s">
        <v>148</v>
      </c>
      <c r="B38" s="2" t="s">
        <v>95</v>
      </c>
      <c r="C38" s="2" t="s">
        <v>40</v>
      </c>
      <c r="D38" s="2" t="s">
        <v>64</v>
      </c>
      <c r="E38" s="2" t="s">
        <v>52</v>
      </c>
      <c r="F38" s="2" t="s">
        <v>149</v>
      </c>
      <c r="G38" s="2" t="s">
        <v>108</v>
      </c>
      <c r="H38" s="15">
        <v>96.3</v>
      </c>
      <c r="I38" s="13">
        <v>4.865659397715473</v>
      </c>
      <c r="J38" s="13">
        <v>2.9767912772585667</v>
      </c>
      <c r="K38" s="17">
        <v>163.6957424714434</v>
      </c>
      <c r="L38" s="13"/>
      <c r="M38" s="13"/>
      <c r="N38" s="15"/>
      <c r="O38" s="16"/>
      <c r="P38" s="13"/>
      <c r="Q38" s="13"/>
      <c r="R38" s="17"/>
      <c r="S38" s="13"/>
      <c r="T38" s="17"/>
      <c r="U38" s="13"/>
      <c r="V38" s="16"/>
      <c r="W38" s="13"/>
      <c r="X38" s="13"/>
      <c r="Y38" s="14"/>
      <c r="Z38" s="2"/>
      <c r="AA38" s="13">
        <f>H38*I38/100</f>
      </c>
      <c r="AB38" s="13">
        <f>H38*J38/100</f>
      </c>
      <c r="AC38" s="15">
        <f>H38*K38</f>
      </c>
      <c r="AD38" s="15">
        <f>H38*M38</f>
      </c>
      <c r="AE38" s="13">
        <f>H38*L38/100</f>
      </c>
      <c r="AF38" s="13">
        <f>AA38+AB38+AE38</f>
      </c>
      <c r="AG38" s="13">
        <f>I38+J38+L38</f>
      </c>
      <c r="AH38" s="18">
        <f>$H38*I38</f>
      </c>
      <c r="AI38" s="18">
        <f>$H38*J38</f>
      </c>
      <c r="AJ38" s="18">
        <f>$H38*K38</f>
      </c>
      <c r="AK38" s="18">
        <f>$H38*L38</f>
      </c>
      <c r="AL38" s="18">
        <f>$H38*M38</f>
      </c>
      <c r="AM38" s="14"/>
      <c r="AN38" s="14"/>
      <c r="AO38" s="14"/>
    </row>
    <row x14ac:dyDescent="0.25" r="39" customHeight="1" ht="17.25">
      <c r="A39" s="2" t="s">
        <v>150</v>
      </c>
      <c r="B39" s="2" t="s">
        <v>95</v>
      </c>
      <c r="C39" s="2" t="s">
        <v>56</v>
      </c>
      <c r="D39" s="2" t="s">
        <v>79</v>
      </c>
      <c r="E39" s="2" t="s">
        <v>52</v>
      </c>
      <c r="F39" s="2" t="s">
        <v>43</v>
      </c>
      <c r="G39" s="2" t="s">
        <v>151</v>
      </c>
      <c r="H39" s="16">
        <v>0.03495</v>
      </c>
      <c r="I39" s="13">
        <v>6.2</v>
      </c>
      <c r="J39" s="13">
        <v>1.37</v>
      </c>
      <c r="K39" s="14"/>
      <c r="L39" s="13"/>
      <c r="M39" s="13"/>
      <c r="N39" s="15"/>
      <c r="O39" s="16"/>
      <c r="P39" s="13"/>
      <c r="Q39" s="13"/>
      <c r="R39" s="17"/>
      <c r="S39" s="13"/>
      <c r="T39" s="17"/>
      <c r="U39" s="13"/>
      <c r="V39" s="16"/>
      <c r="W39" s="13"/>
      <c r="X39" s="13"/>
      <c r="Y39" s="13">
        <v>36.6</v>
      </c>
      <c r="Z39" s="2" t="s">
        <v>152</v>
      </c>
      <c r="AA39" s="13">
        <f>H39*I39/100</f>
      </c>
      <c r="AB39" s="13">
        <f>H39*J39/100</f>
      </c>
      <c r="AC39" s="15">
        <f>H39*K39</f>
      </c>
      <c r="AD39" s="15">
        <f>H39*M39</f>
      </c>
      <c r="AE39" s="13">
        <f>H39*L39/100</f>
      </c>
      <c r="AF39" s="13">
        <f>AA39+AB39+AE39</f>
      </c>
      <c r="AG39" s="13">
        <f>I39+J39+L39</f>
      </c>
      <c r="AH39" s="18">
        <f>$H39*I39</f>
      </c>
      <c r="AI39" s="18">
        <f>$H39*J39</f>
      </c>
      <c r="AJ39" s="18">
        <f>$H39*K39</f>
      </c>
      <c r="AK39" s="18">
        <f>$H39*L39</f>
      </c>
      <c r="AL39" s="18">
        <f>$H39*M39</f>
      </c>
      <c r="AM39" s="14"/>
      <c r="AN39" s="14"/>
      <c r="AO39" s="14"/>
    </row>
    <row x14ac:dyDescent="0.25" r="40" customHeight="1" ht="17.25">
      <c r="A40" s="2" t="s">
        <v>153</v>
      </c>
      <c r="B40" s="2" t="s">
        <v>95</v>
      </c>
      <c r="C40" s="2" t="s">
        <v>40</v>
      </c>
      <c r="D40" s="2" t="s">
        <v>64</v>
      </c>
      <c r="E40" s="2" t="s">
        <v>52</v>
      </c>
      <c r="F40" s="2" t="s">
        <v>154</v>
      </c>
      <c r="G40" s="2" t="s">
        <v>108</v>
      </c>
      <c r="H40" s="13">
        <v>17.6</v>
      </c>
      <c r="I40" s="15">
        <v>10.059090909090909</v>
      </c>
      <c r="J40" s="15">
        <v>1.4846590909090907</v>
      </c>
      <c r="K40" s="17">
        <v>37.28409090909091</v>
      </c>
      <c r="L40" s="13"/>
      <c r="M40" s="13"/>
      <c r="N40" s="15"/>
      <c r="O40" s="16"/>
      <c r="P40" s="13"/>
      <c r="Q40" s="13"/>
      <c r="R40" s="17"/>
      <c r="S40" s="13"/>
      <c r="T40" s="17"/>
      <c r="U40" s="13"/>
      <c r="V40" s="16"/>
      <c r="W40" s="13"/>
      <c r="X40" s="13"/>
      <c r="Y40" s="14"/>
      <c r="Z40" s="2"/>
      <c r="AA40" s="13">
        <f>H40*I40/100</f>
      </c>
      <c r="AB40" s="13">
        <f>H40*J40/100</f>
      </c>
      <c r="AC40" s="15">
        <f>H40*K40</f>
      </c>
      <c r="AD40" s="15">
        <f>H40*M40</f>
      </c>
      <c r="AE40" s="13">
        <f>H40*L40/100</f>
      </c>
      <c r="AF40" s="13">
        <f>AA40+AB40+AE40</f>
      </c>
      <c r="AG40" s="13">
        <f>I40+J40+L40</f>
      </c>
      <c r="AH40" s="18">
        <f>$H40*I40</f>
      </c>
      <c r="AI40" s="18">
        <f>$H40*J40</f>
      </c>
      <c r="AJ40" s="18">
        <f>$H40*K40</f>
      </c>
      <c r="AK40" s="18">
        <f>$H40*L40</f>
      </c>
      <c r="AL40" s="18">
        <f>$H40*M40</f>
      </c>
      <c r="AM40" s="14"/>
      <c r="AN40" s="14"/>
      <c r="AO40" s="14"/>
    </row>
    <row x14ac:dyDescent="0.25" r="41" customHeight="1" ht="17.25">
      <c r="A41" s="2" t="s">
        <v>155</v>
      </c>
      <c r="B41" s="2" t="s">
        <v>95</v>
      </c>
      <c r="C41" s="2" t="s">
        <v>50</v>
      </c>
      <c r="D41" s="2"/>
      <c r="E41" s="2" t="s">
        <v>52</v>
      </c>
      <c r="F41" s="2" t="s">
        <v>156</v>
      </c>
      <c r="G41" s="2" t="s">
        <v>97</v>
      </c>
      <c r="H41" s="13">
        <v>1.22</v>
      </c>
      <c r="I41" s="13">
        <v>0.4</v>
      </c>
      <c r="J41" s="13">
        <v>0.7</v>
      </c>
      <c r="K41" s="13">
        <v>8.1</v>
      </c>
      <c r="L41" s="13">
        <v>0.5</v>
      </c>
      <c r="M41" s="13">
        <v>0.8</v>
      </c>
      <c r="N41" s="15"/>
      <c r="O41" s="16"/>
      <c r="P41" s="13"/>
      <c r="Q41" s="13"/>
      <c r="R41" s="17"/>
      <c r="S41" s="13"/>
      <c r="T41" s="17"/>
      <c r="U41" s="13"/>
      <c r="V41" s="16"/>
      <c r="W41" s="13"/>
      <c r="X41" s="13"/>
      <c r="Y41" s="14"/>
      <c r="Z41" s="2"/>
      <c r="AA41" s="13">
        <f>H41*I41/100</f>
      </c>
      <c r="AB41" s="13">
        <f>H41*J41/100</f>
      </c>
      <c r="AC41" s="15">
        <f>H41*K41</f>
      </c>
      <c r="AD41" s="15">
        <f>H41*M41</f>
      </c>
      <c r="AE41" s="13">
        <f>H41*L41/100</f>
      </c>
      <c r="AF41" s="13">
        <f>AA41+AB41+AE41</f>
      </c>
      <c r="AG41" s="13">
        <f>I41+J41+L41</f>
      </c>
      <c r="AH41" s="18">
        <f>$H41*I41</f>
      </c>
      <c r="AI41" s="18">
        <f>$H41*J41</f>
      </c>
      <c r="AJ41" s="18">
        <f>$H41*K41</f>
      </c>
      <c r="AK41" s="18">
        <f>$H41*L41</f>
      </c>
      <c r="AL41" s="18">
        <f>$H41*M41</f>
      </c>
      <c r="AM41" s="14"/>
      <c r="AN41" s="14"/>
      <c r="AO41" s="14"/>
    </row>
    <row x14ac:dyDescent="0.25" r="42" customHeight="1" ht="17.25">
      <c r="A42" s="2" t="s">
        <v>157</v>
      </c>
      <c r="B42" s="2" t="s">
        <v>95</v>
      </c>
      <c r="C42" s="2" t="s">
        <v>50</v>
      </c>
      <c r="D42" s="2"/>
      <c r="E42" s="2" t="s">
        <v>52</v>
      </c>
      <c r="F42" s="2" t="s">
        <v>99</v>
      </c>
      <c r="G42" s="2" t="s">
        <v>100</v>
      </c>
      <c r="H42" s="16">
        <v>3.061798</v>
      </c>
      <c r="I42" s="13">
        <v>2.1</v>
      </c>
      <c r="J42" s="13">
        <v>1.48</v>
      </c>
      <c r="K42" s="13">
        <v>45.7</v>
      </c>
      <c r="L42" s="13"/>
      <c r="M42" s="13"/>
      <c r="N42" s="15"/>
      <c r="O42" s="16"/>
      <c r="P42" s="13"/>
      <c r="Q42" s="13"/>
      <c r="R42" s="17"/>
      <c r="S42" s="13"/>
      <c r="T42" s="17"/>
      <c r="U42" s="13"/>
      <c r="V42" s="16"/>
      <c r="W42" s="13"/>
      <c r="X42" s="13"/>
      <c r="Y42" s="14"/>
      <c r="Z42" s="2"/>
      <c r="AA42" s="13">
        <f>H42*I42/100</f>
      </c>
      <c r="AB42" s="13">
        <f>H42*J42/100</f>
      </c>
      <c r="AC42" s="15">
        <f>H42*K42</f>
      </c>
      <c r="AD42" s="15">
        <f>H42*M42</f>
      </c>
      <c r="AE42" s="13">
        <f>H42*L42/100</f>
      </c>
      <c r="AF42" s="13">
        <f>AA42+AB42+AE42</f>
      </c>
      <c r="AG42" s="13">
        <f>I42+J42+L42</f>
      </c>
      <c r="AH42" s="18">
        <f>$H42*I42</f>
      </c>
      <c r="AI42" s="18">
        <f>$H42*J42</f>
      </c>
      <c r="AJ42" s="18">
        <f>$H42*K42</f>
      </c>
      <c r="AK42" s="18">
        <f>$H42*L42</f>
      </c>
      <c r="AL42" s="18">
        <f>$H42*M42</f>
      </c>
      <c r="AM42" s="14"/>
      <c r="AN42" s="14"/>
      <c r="AO42" s="14"/>
    </row>
    <row x14ac:dyDescent="0.25" r="43" customHeight="1" ht="17.25">
      <c r="A43" s="2" t="s">
        <v>158</v>
      </c>
      <c r="B43" s="2" t="s">
        <v>95</v>
      </c>
      <c r="C43" s="2" t="s">
        <v>159</v>
      </c>
      <c r="D43" s="2"/>
      <c r="E43" s="2" t="s">
        <v>52</v>
      </c>
      <c r="F43" s="2" t="s">
        <v>160</v>
      </c>
      <c r="G43" s="2" t="s">
        <v>161</v>
      </c>
      <c r="H43" s="16">
        <v>3.1304010000000004</v>
      </c>
      <c r="I43" s="13">
        <v>1.2571781378807376</v>
      </c>
      <c r="J43" s="13">
        <v>0.5637470502980289</v>
      </c>
      <c r="K43" s="15">
        <v>95.44283617338483</v>
      </c>
      <c r="L43" s="13">
        <v>0.17848237015002227</v>
      </c>
      <c r="M43" s="13"/>
      <c r="N43" s="15"/>
      <c r="O43" s="16"/>
      <c r="P43" s="13"/>
      <c r="Q43" s="13">
        <v>0.21094990066767802</v>
      </c>
      <c r="R43" s="15">
        <v>5.745757332686771</v>
      </c>
      <c r="S43" s="15"/>
      <c r="T43" s="17"/>
      <c r="U43" s="13"/>
      <c r="V43" s="16"/>
      <c r="W43" s="13"/>
      <c r="X43" s="13"/>
      <c r="Y43" s="14"/>
      <c r="Z43" s="2"/>
      <c r="AA43" s="13">
        <f>H43*I43/100</f>
      </c>
      <c r="AB43" s="13">
        <f>H43*J43/100</f>
      </c>
      <c r="AC43" s="15">
        <f>H43*K43</f>
      </c>
      <c r="AD43" s="15">
        <f>H43*M43</f>
      </c>
      <c r="AE43" s="13">
        <f>H43*L43/100</f>
      </c>
      <c r="AF43" s="13">
        <f>AA43+AB43+AE43</f>
      </c>
      <c r="AG43" s="13">
        <f>I43+J43+L43</f>
      </c>
      <c r="AH43" s="18">
        <f>$H43*I43</f>
      </c>
      <c r="AI43" s="18">
        <f>$H43*J43</f>
      </c>
      <c r="AJ43" s="18">
        <f>$H43*K43</f>
      </c>
      <c r="AK43" s="18">
        <f>$H43*L43</f>
      </c>
      <c r="AL43" s="18">
        <f>$H43*M43</f>
      </c>
      <c r="AM43" s="14"/>
      <c r="AN43" s="14"/>
      <c r="AO43" s="14"/>
    </row>
    <row x14ac:dyDescent="0.25" r="44" customHeight="1" ht="17.25">
      <c r="A44" s="2" t="s">
        <v>162</v>
      </c>
      <c r="B44" s="2" t="s">
        <v>95</v>
      </c>
      <c r="C44" s="2" t="s">
        <v>40</v>
      </c>
      <c r="D44" s="2" t="s">
        <v>64</v>
      </c>
      <c r="E44" s="2" t="s">
        <v>52</v>
      </c>
      <c r="F44" s="2" t="s">
        <v>141</v>
      </c>
      <c r="G44" s="2" t="s">
        <v>139</v>
      </c>
      <c r="H44" s="13">
        <v>7.8</v>
      </c>
      <c r="I44" s="15">
        <v>1</v>
      </c>
      <c r="J44" s="13">
        <v>4.2</v>
      </c>
      <c r="K44" s="14"/>
      <c r="L44" s="13"/>
      <c r="M44" s="13"/>
      <c r="N44" s="15"/>
      <c r="O44" s="16"/>
      <c r="P44" s="13"/>
      <c r="Q44" s="13"/>
      <c r="R44" s="17"/>
      <c r="S44" s="13"/>
      <c r="T44" s="17"/>
      <c r="U44" s="13"/>
      <c r="V44" s="16"/>
      <c r="W44" s="13"/>
      <c r="X44" s="13"/>
      <c r="Y44" s="14"/>
      <c r="Z44" s="2"/>
      <c r="AA44" s="13">
        <f>H44*I44/100</f>
      </c>
      <c r="AB44" s="13">
        <f>H44*J44/100</f>
      </c>
      <c r="AC44" s="15">
        <f>H44*K44</f>
      </c>
      <c r="AD44" s="15">
        <f>H44*M44</f>
      </c>
      <c r="AE44" s="13">
        <f>H44*L44/100</f>
      </c>
      <c r="AF44" s="13">
        <f>AA44+AB44+AE44</f>
      </c>
      <c r="AG44" s="13">
        <f>I44+J44+L44</f>
      </c>
      <c r="AH44" s="18">
        <f>$H44*I44</f>
      </c>
      <c r="AI44" s="18">
        <f>$H44*J44</f>
      </c>
      <c r="AJ44" s="18">
        <f>$H44*K44</f>
      </c>
      <c r="AK44" s="18">
        <f>$H44*L44</f>
      </c>
      <c r="AL44" s="18">
        <f>$H44*M44</f>
      </c>
      <c r="AM44" s="14"/>
      <c r="AN44" s="14"/>
      <c r="AO44" s="14"/>
    </row>
    <row x14ac:dyDescent="0.25" r="45" customHeight="1" ht="17.25">
      <c r="A45" s="2" t="s">
        <v>163</v>
      </c>
      <c r="B45" s="2" t="s">
        <v>95</v>
      </c>
      <c r="C45" s="2" t="s">
        <v>50</v>
      </c>
      <c r="D45" s="2"/>
      <c r="E45" s="12" t="s">
        <v>42</v>
      </c>
      <c r="F45" s="2" t="s">
        <v>164</v>
      </c>
      <c r="G45" s="2" t="s">
        <v>136</v>
      </c>
      <c r="H45" s="13">
        <v>0.762</v>
      </c>
      <c r="I45" s="13">
        <v>0.3</v>
      </c>
      <c r="J45" s="13">
        <v>9.99</v>
      </c>
      <c r="K45" s="13">
        <v>14.5</v>
      </c>
      <c r="L45" s="13">
        <v>1.77</v>
      </c>
      <c r="M45" s="13"/>
      <c r="N45" s="15"/>
      <c r="O45" s="16"/>
      <c r="P45" s="13"/>
      <c r="Q45" s="13"/>
      <c r="R45" s="17"/>
      <c r="S45" s="13"/>
      <c r="T45" s="17"/>
      <c r="U45" s="13"/>
      <c r="V45" s="16"/>
      <c r="W45" s="13"/>
      <c r="X45" s="13"/>
      <c r="Y45" s="14"/>
      <c r="Z45" s="2"/>
      <c r="AA45" s="13">
        <f>H45*I45/100</f>
      </c>
      <c r="AB45" s="13">
        <f>H45*J45/100</f>
      </c>
      <c r="AC45" s="15">
        <f>H45*K45</f>
      </c>
      <c r="AD45" s="15">
        <f>H45*M45</f>
      </c>
      <c r="AE45" s="13">
        <f>H45*L45/100</f>
      </c>
      <c r="AF45" s="13">
        <f>AA45+AB45+AE45</f>
      </c>
      <c r="AG45" s="13">
        <f>I45+J45+L45</f>
      </c>
      <c r="AH45" s="18">
        <f>$H45*I45</f>
      </c>
      <c r="AI45" s="18">
        <f>$H45*J45</f>
      </c>
      <c r="AJ45" s="18">
        <f>$H45*K45</f>
      </c>
      <c r="AK45" s="18">
        <f>$H45*L45</f>
      </c>
      <c r="AL45" s="18">
        <f>$H45*M45</f>
      </c>
      <c r="AM45" s="14"/>
      <c r="AN45" s="14"/>
      <c r="AO45" s="14"/>
    </row>
    <row x14ac:dyDescent="0.25" r="46" customHeight="1" ht="17.25">
      <c r="A46" s="2" t="s">
        <v>165</v>
      </c>
      <c r="B46" s="2" t="s">
        <v>95</v>
      </c>
      <c r="C46" s="2" t="s">
        <v>50</v>
      </c>
      <c r="D46" s="2"/>
      <c r="E46" s="2" t="s">
        <v>52</v>
      </c>
      <c r="F46" s="2" t="s">
        <v>166</v>
      </c>
      <c r="G46" s="2" t="s">
        <v>97</v>
      </c>
      <c r="H46" s="13">
        <v>1.75</v>
      </c>
      <c r="I46" s="13"/>
      <c r="J46" s="13">
        <v>2.05</v>
      </c>
      <c r="K46" s="13">
        <v>8.5</v>
      </c>
      <c r="L46" s="13">
        <v>1.71</v>
      </c>
      <c r="M46" s="13">
        <v>0.24</v>
      </c>
      <c r="N46" s="15"/>
      <c r="O46" s="16"/>
      <c r="P46" s="13"/>
      <c r="Q46" s="13"/>
      <c r="R46" s="17"/>
      <c r="S46" s="13"/>
      <c r="T46" s="17"/>
      <c r="U46" s="13"/>
      <c r="V46" s="16"/>
      <c r="W46" s="13"/>
      <c r="X46" s="13"/>
      <c r="Y46" s="14"/>
      <c r="Z46" s="2"/>
      <c r="AA46" s="13">
        <f>H46*I46/100</f>
      </c>
      <c r="AB46" s="13">
        <f>H46*J46/100</f>
      </c>
      <c r="AC46" s="15">
        <f>H46*K46</f>
      </c>
      <c r="AD46" s="15">
        <f>H46*M46</f>
      </c>
      <c r="AE46" s="13">
        <f>H46*L46/100</f>
      </c>
      <c r="AF46" s="13">
        <f>AA46+AB46+AE46</f>
      </c>
      <c r="AG46" s="13">
        <f>I46+J46+L46</f>
      </c>
      <c r="AH46" s="18">
        <f>$H46*I46</f>
      </c>
      <c r="AI46" s="18">
        <f>$H46*J46</f>
      </c>
      <c r="AJ46" s="18">
        <f>$H46*K46</f>
      </c>
      <c r="AK46" s="18">
        <f>$H46*L46</f>
      </c>
      <c r="AL46" s="18">
        <f>$H46*M46</f>
      </c>
      <c r="AM46" s="14"/>
      <c r="AN46" s="14"/>
      <c r="AO46" s="14"/>
    </row>
    <row x14ac:dyDescent="0.25" r="47" customHeight="1" ht="17.25">
      <c r="A47" s="2" t="s">
        <v>167</v>
      </c>
      <c r="B47" s="2" t="s">
        <v>95</v>
      </c>
      <c r="C47" s="2" t="s">
        <v>168</v>
      </c>
      <c r="D47" s="2" t="s">
        <v>169</v>
      </c>
      <c r="E47" s="2" t="s">
        <v>52</v>
      </c>
      <c r="F47" s="2" t="s">
        <v>170</v>
      </c>
      <c r="G47" s="2" t="s">
        <v>103</v>
      </c>
      <c r="H47" s="13">
        <v>19.93</v>
      </c>
      <c r="I47" s="13">
        <v>0.2</v>
      </c>
      <c r="J47" s="13">
        <v>0.5</v>
      </c>
      <c r="K47" s="13">
        <v>16.4</v>
      </c>
      <c r="L47" s="13"/>
      <c r="M47" s="13"/>
      <c r="N47" s="15"/>
      <c r="O47" s="16"/>
      <c r="P47" s="13"/>
      <c r="Q47" s="13"/>
      <c r="R47" s="17"/>
      <c r="S47" s="13"/>
      <c r="T47" s="17"/>
      <c r="U47" s="13"/>
      <c r="V47" s="16"/>
      <c r="W47" s="13"/>
      <c r="X47" s="13"/>
      <c r="Y47" s="14"/>
      <c r="Z47" s="2"/>
      <c r="AA47" s="13">
        <f>H47*I47/100</f>
      </c>
      <c r="AB47" s="13">
        <f>H47*J47/100</f>
      </c>
      <c r="AC47" s="15">
        <f>H47*K47</f>
      </c>
      <c r="AD47" s="15">
        <f>H47*M47</f>
      </c>
      <c r="AE47" s="13">
        <f>H47*L47/100</f>
      </c>
      <c r="AF47" s="13">
        <f>AA47+AB47+AE47</f>
      </c>
      <c r="AG47" s="13">
        <f>I47+J47+L47</f>
      </c>
      <c r="AH47" s="18">
        <f>$H47*I47</f>
      </c>
      <c r="AI47" s="18">
        <f>$H47*J47</f>
      </c>
      <c r="AJ47" s="18">
        <f>$H47*K47</f>
      </c>
      <c r="AK47" s="18">
        <f>$H47*L47</f>
      </c>
      <c r="AL47" s="18">
        <f>$H47*M47</f>
      </c>
      <c r="AM47" s="14"/>
      <c r="AN47" s="14"/>
      <c r="AO47" s="14"/>
    </row>
    <row x14ac:dyDescent="0.25" r="48" customHeight="1" ht="17.25">
      <c r="A48" s="2" t="s">
        <v>171</v>
      </c>
      <c r="B48" s="2" t="s">
        <v>95</v>
      </c>
      <c r="C48" s="2" t="s">
        <v>40</v>
      </c>
      <c r="D48" s="2" t="s">
        <v>64</v>
      </c>
      <c r="E48" s="2" t="s">
        <v>52</v>
      </c>
      <c r="F48" s="2" t="s">
        <v>154</v>
      </c>
      <c r="G48" s="2" t="s">
        <v>108</v>
      </c>
      <c r="H48" s="14">
        <v>63</v>
      </c>
      <c r="I48" s="15">
        <v>1.8079365079365077</v>
      </c>
      <c r="J48" s="15">
        <v>12.095238095238095</v>
      </c>
      <c r="K48" s="17">
        <v>31.523809523809526</v>
      </c>
      <c r="L48" s="13"/>
      <c r="M48" s="13"/>
      <c r="N48" s="15"/>
      <c r="O48" s="16"/>
      <c r="P48" s="13"/>
      <c r="Q48" s="13"/>
      <c r="R48" s="17"/>
      <c r="S48" s="13"/>
      <c r="T48" s="17"/>
      <c r="U48" s="13"/>
      <c r="V48" s="16"/>
      <c r="W48" s="13"/>
      <c r="X48" s="13"/>
      <c r="Y48" s="14"/>
      <c r="Z48" s="2"/>
      <c r="AA48" s="13">
        <f>H48*I48/100</f>
      </c>
      <c r="AB48" s="13">
        <f>H48*J48/100</f>
      </c>
      <c r="AC48" s="15">
        <f>H48*K48</f>
      </c>
      <c r="AD48" s="15">
        <f>H48*M48</f>
      </c>
      <c r="AE48" s="13">
        <f>H48*L48/100</f>
      </c>
      <c r="AF48" s="13">
        <f>AA48+AB48+AE48</f>
      </c>
      <c r="AG48" s="13">
        <f>I48+J48+L48</f>
      </c>
      <c r="AH48" s="18">
        <f>$H48*I48</f>
      </c>
      <c r="AI48" s="18">
        <f>$H48*J48</f>
      </c>
      <c r="AJ48" s="18">
        <f>$H48*K48</f>
      </c>
      <c r="AK48" s="18">
        <f>$H48*L48</f>
      </c>
      <c r="AL48" s="18">
        <f>$H48*M48</f>
      </c>
      <c r="AM48" s="14"/>
      <c r="AN48" s="14"/>
      <c r="AO48" s="14"/>
    </row>
    <row x14ac:dyDescent="0.25" r="49" customHeight="1" ht="17.25">
      <c r="A49" s="2" t="s">
        <v>172</v>
      </c>
      <c r="B49" s="2" t="s">
        <v>95</v>
      </c>
      <c r="C49" s="2" t="s">
        <v>50</v>
      </c>
      <c r="D49" s="2"/>
      <c r="E49" s="2" t="s">
        <v>52</v>
      </c>
      <c r="F49" s="2" t="s">
        <v>173</v>
      </c>
      <c r="G49" s="2" t="s">
        <v>106</v>
      </c>
      <c r="H49" s="13">
        <v>3.4</v>
      </c>
      <c r="I49" s="13">
        <v>0.647</v>
      </c>
      <c r="J49" s="13">
        <v>1.697</v>
      </c>
      <c r="K49" s="14">
        <v>14</v>
      </c>
      <c r="L49" s="13">
        <v>0.656</v>
      </c>
      <c r="M49" s="13">
        <v>0.022</v>
      </c>
      <c r="N49" s="15"/>
      <c r="O49" s="16"/>
      <c r="P49" s="13"/>
      <c r="Q49" s="13"/>
      <c r="R49" s="17"/>
      <c r="S49" s="13"/>
      <c r="T49" s="17"/>
      <c r="U49" s="13"/>
      <c r="V49" s="16"/>
      <c r="W49" s="13"/>
      <c r="X49" s="13"/>
      <c r="Y49" s="14"/>
      <c r="Z49" s="2"/>
      <c r="AA49" s="13">
        <f>H49*I49/100</f>
      </c>
      <c r="AB49" s="13">
        <f>H49*J49/100</f>
      </c>
      <c r="AC49" s="15">
        <f>H49*K49</f>
      </c>
      <c r="AD49" s="15">
        <f>H49*M49</f>
      </c>
      <c r="AE49" s="13">
        <f>H49*L49/100</f>
      </c>
      <c r="AF49" s="13">
        <f>AA49+AB49+AE49</f>
      </c>
      <c r="AG49" s="13">
        <f>I49+J49+L49</f>
      </c>
      <c r="AH49" s="18">
        <f>$H49*I49</f>
      </c>
      <c r="AI49" s="18">
        <f>$H49*J49</f>
      </c>
      <c r="AJ49" s="18">
        <f>$H49*K49</f>
      </c>
      <c r="AK49" s="18">
        <f>$H49*L49</f>
      </c>
      <c r="AL49" s="18">
        <f>$H49*M49</f>
      </c>
      <c r="AM49" s="14"/>
      <c r="AN49" s="14"/>
      <c r="AO49" s="14"/>
    </row>
    <row x14ac:dyDescent="0.25" r="50" customHeight="1" ht="17.25">
      <c r="A50" s="2" t="s">
        <v>174</v>
      </c>
      <c r="B50" s="2" t="s">
        <v>95</v>
      </c>
      <c r="C50" s="2" t="s">
        <v>40</v>
      </c>
      <c r="D50" s="2"/>
      <c r="E50" s="2" t="s">
        <v>52</v>
      </c>
      <c r="F50" s="2" t="s">
        <v>43</v>
      </c>
      <c r="G50" s="2" t="s">
        <v>175</v>
      </c>
      <c r="H50" s="14">
        <v>17</v>
      </c>
      <c r="I50" s="13">
        <v>1.2</v>
      </c>
      <c r="J50" s="13"/>
      <c r="K50" s="14">
        <v>10</v>
      </c>
      <c r="L50" s="13"/>
      <c r="M50" s="13"/>
      <c r="N50" s="15"/>
      <c r="O50" s="16"/>
      <c r="P50" s="13"/>
      <c r="Q50" s="13"/>
      <c r="R50" s="17"/>
      <c r="S50" s="13"/>
      <c r="T50" s="17"/>
      <c r="U50" s="13"/>
      <c r="V50" s="16"/>
      <c r="W50" s="13"/>
      <c r="X50" s="13"/>
      <c r="Y50" s="14"/>
      <c r="Z50" s="2"/>
      <c r="AA50" s="13">
        <f>H50*I50/100</f>
      </c>
      <c r="AB50" s="13">
        <f>H50*J50/100</f>
      </c>
      <c r="AC50" s="15">
        <f>H50*K50</f>
      </c>
      <c r="AD50" s="15">
        <f>H50*M50</f>
      </c>
      <c r="AE50" s="13">
        <f>H50*L50/100</f>
      </c>
      <c r="AF50" s="13">
        <f>AA50+AB50+AE50</f>
      </c>
      <c r="AG50" s="13">
        <f>I50+J50+L50</f>
      </c>
      <c r="AH50" s="18">
        <f>$H50*I50</f>
      </c>
      <c r="AI50" s="18">
        <f>$H50*J50</f>
      </c>
      <c r="AJ50" s="18">
        <f>$H50*K50</f>
      </c>
      <c r="AK50" s="18">
        <f>$H50*L50</f>
      </c>
      <c r="AL50" s="18">
        <f>$H50*M50</f>
      </c>
      <c r="AM50" s="14"/>
      <c r="AN50" s="14"/>
      <c r="AO50" s="14"/>
    </row>
    <row x14ac:dyDescent="0.25" r="51" customHeight="1" ht="17.25">
      <c r="A51" s="2" t="s">
        <v>176</v>
      </c>
      <c r="B51" s="2" t="s">
        <v>95</v>
      </c>
      <c r="C51" s="2" t="s">
        <v>50</v>
      </c>
      <c r="D51" s="2"/>
      <c r="E51" s="2" t="s">
        <v>52</v>
      </c>
      <c r="F51" s="2" t="s">
        <v>177</v>
      </c>
      <c r="G51" s="2" t="s">
        <v>106</v>
      </c>
      <c r="H51" s="13">
        <v>4.7</v>
      </c>
      <c r="I51" s="13">
        <v>0.2</v>
      </c>
      <c r="J51" s="13">
        <v>4.5</v>
      </c>
      <c r="K51" s="14">
        <v>19</v>
      </c>
      <c r="L51" s="13">
        <v>0.33</v>
      </c>
      <c r="M51" s="13"/>
      <c r="N51" s="15"/>
      <c r="O51" s="16"/>
      <c r="P51" s="13"/>
      <c r="Q51" s="13"/>
      <c r="R51" s="17"/>
      <c r="S51" s="13"/>
      <c r="T51" s="17"/>
      <c r="U51" s="13"/>
      <c r="V51" s="16"/>
      <c r="W51" s="13"/>
      <c r="X51" s="13"/>
      <c r="Y51" s="14"/>
      <c r="Z51" s="2"/>
      <c r="AA51" s="13">
        <f>H51*I51/100</f>
      </c>
      <c r="AB51" s="13">
        <f>H51*J51/100</f>
      </c>
      <c r="AC51" s="15">
        <f>H51*K51</f>
      </c>
      <c r="AD51" s="15">
        <f>H51*M51</f>
      </c>
      <c r="AE51" s="13">
        <f>H51*L51/100</f>
      </c>
      <c r="AF51" s="13">
        <f>AA51+AB51+AE51</f>
      </c>
      <c r="AG51" s="13">
        <f>I51+J51+L51</f>
      </c>
      <c r="AH51" s="18">
        <f>$H51*I51</f>
      </c>
      <c r="AI51" s="18">
        <f>$H51*J51</f>
      </c>
      <c r="AJ51" s="18">
        <f>$H51*K51</f>
      </c>
      <c r="AK51" s="18">
        <f>$H51*L51</f>
      </c>
      <c r="AL51" s="18">
        <f>$H51*M51</f>
      </c>
      <c r="AM51" s="14"/>
      <c r="AN51" s="14"/>
      <c r="AO51" s="14"/>
    </row>
    <row x14ac:dyDescent="0.25" r="52" customHeight="1" ht="17.25">
      <c r="A52" s="2" t="s">
        <v>178</v>
      </c>
      <c r="B52" s="2" t="s">
        <v>95</v>
      </c>
      <c r="C52" s="2" t="s">
        <v>50</v>
      </c>
      <c r="D52" s="2"/>
      <c r="E52" s="2" t="s">
        <v>52</v>
      </c>
      <c r="F52" s="2" t="s">
        <v>131</v>
      </c>
      <c r="G52" s="2" t="s">
        <v>179</v>
      </c>
      <c r="H52" s="13">
        <v>17.4</v>
      </c>
      <c r="I52" s="15">
        <v>4.93448275862069</v>
      </c>
      <c r="J52" s="15">
        <v>7.7603448275862075</v>
      </c>
      <c r="K52" s="15">
        <v>73.58045977011496</v>
      </c>
      <c r="L52" s="19">
        <v>0.18</v>
      </c>
      <c r="M52" s="13"/>
      <c r="N52" s="15"/>
      <c r="O52" s="16"/>
      <c r="P52" s="13"/>
      <c r="Q52" s="13"/>
      <c r="R52" s="17"/>
      <c r="S52" s="13"/>
      <c r="T52" s="17"/>
      <c r="U52" s="13"/>
      <c r="V52" s="16"/>
      <c r="W52" s="13"/>
      <c r="X52" s="13"/>
      <c r="Y52" s="14"/>
      <c r="Z52" s="2"/>
      <c r="AA52" s="13">
        <f>H52*I52/100</f>
      </c>
      <c r="AB52" s="13">
        <f>H52*J52/100</f>
      </c>
      <c r="AC52" s="15">
        <f>H52*K52</f>
      </c>
      <c r="AD52" s="15">
        <f>H52*M52</f>
      </c>
      <c r="AE52" s="13">
        <f>H52*L52/100</f>
      </c>
      <c r="AF52" s="13">
        <f>AA52+AB52+AE52</f>
      </c>
      <c r="AG52" s="13">
        <f>I52+J52+L52</f>
      </c>
      <c r="AH52" s="18">
        <f>$H52*I52</f>
      </c>
      <c r="AI52" s="18">
        <f>$H52*J52</f>
      </c>
      <c r="AJ52" s="18">
        <f>$H52*K52</f>
      </c>
      <c r="AK52" s="18">
        <f>$H52*L52</f>
      </c>
      <c r="AL52" s="18">
        <f>$H52*M52</f>
      </c>
      <c r="AM52" s="14"/>
      <c r="AN52" s="14"/>
      <c r="AO52" s="14"/>
    </row>
    <row x14ac:dyDescent="0.25" r="53" customHeight="1" ht="17.25">
      <c r="A53" s="2" t="s">
        <v>180</v>
      </c>
      <c r="B53" s="2" t="s">
        <v>95</v>
      </c>
      <c r="C53" s="2" t="s">
        <v>159</v>
      </c>
      <c r="D53" s="2"/>
      <c r="E53" s="12" t="s">
        <v>42</v>
      </c>
      <c r="F53" s="2" t="s">
        <v>146</v>
      </c>
      <c r="G53" s="2" t="s">
        <v>73</v>
      </c>
      <c r="H53" s="13">
        <v>0.00742</v>
      </c>
      <c r="I53" s="13">
        <v>6.7</v>
      </c>
      <c r="J53" s="13">
        <v>3.7</v>
      </c>
      <c r="K53" s="14">
        <v>343</v>
      </c>
      <c r="L53" s="13"/>
      <c r="M53" s="13"/>
      <c r="N53" s="15"/>
      <c r="O53" s="16"/>
      <c r="P53" s="13"/>
      <c r="Q53" s="13"/>
      <c r="R53" s="17"/>
      <c r="S53" s="13"/>
      <c r="T53" s="17"/>
      <c r="U53" s="13"/>
      <c r="V53" s="16"/>
      <c r="W53" s="13"/>
      <c r="X53" s="13"/>
      <c r="Y53" s="14"/>
      <c r="Z53" s="2"/>
      <c r="AA53" s="13">
        <f>H53*I53/100</f>
      </c>
      <c r="AB53" s="13">
        <f>H53*J53/100</f>
      </c>
      <c r="AC53" s="15">
        <f>H53*K53</f>
      </c>
      <c r="AD53" s="15">
        <f>H53*M53</f>
      </c>
      <c r="AE53" s="13">
        <f>H53*L53/100</f>
      </c>
      <c r="AF53" s="13">
        <f>AA53+AB53+AE53</f>
      </c>
      <c r="AG53" s="13">
        <f>I53+J53+L53</f>
      </c>
      <c r="AH53" s="18">
        <f>$H53*I53</f>
      </c>
      <c r="AI53" s="18">
        <f>$H53*J53</f>
      </c>
      <c r="AJ53" s="18">
        <f>$H53*K53</f>
      </c>
      <c r="AK53" s="18">
        <f>$H53*L53</f>
      </c>
      <c r="AL53" s="18">
        <f>$H53*M53</f>
      </c>
      <c r="AM53" s="14"/>
      <c r="AN53" s="14"/>
      <c r="AO53" s="14"/>
    </row>
    <row x14ac:dyDescent="0.25" r="54" customHeight="1" ht="17.25">
      <c r="A54" s="2" t="s">
        <v>181</v>
      </c>
      <c r="B54" s="2" t="s">
        <v>95</v>
      </c>
      <c r="C54" s="2" t="s">
        <v>40</v>
      </c>
      <c r="D54" s="2" t="s">
        <v>64</v>
      </c>
      <c r="E54" s="2" t="s">
        <v>52</v>
      </c>
      <c r="F54" s="2" t="s">
        <v>182</v>
      </c>
      <c r="G54" s="2" t="s">
        <v>108</v>
      </c>
      <c r="H54" s="13">
        <v>11.868</v>
      </c>
      <c r="I54" s="13">
        <v>2</v>
      </c>
      <c r="J54" s="13">
        <v>3.24</v>
      </c>
      <c r="K54" s="13">
        <v>11.14</v>
      </c>
      <c r="L54" s="13">
        <v>0.1</v>
      </c>
      <c r="M54" s="13">
        <v>0.3</v>
      </c>
      <c r="N54" s="15"/>
      <c r="O54" s="16"/>
      <c r="P54" s="13"/>
      <c r="Q54" s="13"/>
      <c r="R54" s="17"/>
      <c r="S54" s="13"/>
      <c r="T54" s="17"/>
      <c r="U54" s="13"/>
      <c r="V54" s="16"/>
      <c r="W54" s="13"/>
      <c r="X54" s="13"/>
      <c r="Y54" s="14"/>
      <c r="Z54" s="2"/>
      <c r="AA54" s="13">
        <f>H54*I54/100</f>
      </c>
      <c r="AB54" s="13">
        <f>H54*J54/100</f>
      </c>
      <c r="AC54" s="15">
        <f>H54*K54</f>
      </c>
      <c r="AD54" s="15">
        <f>H54*M54</f>
      </c>
      <c r="AE54" s="13">
        <f>H54*L54/100</f>
      </c>
      <c r="AF54" s="13">
        <f>AA54+AB54+AE54</f>
      </c>
      <c r="AG54" s="13">
        <f>I54+J54+L54</f>
      </c>
      <c r="AH54" s="18">
        <f>$H54*I54</f>
      </c>
      <c r="AI54" s="18">
        <f>$H54*J54</f>
      </c>
      <c r="AJ54" s="18">
        <f>$H54*K54</f>
      </c>
      <c r="AK54" s="18">
        <f>$H54*L54</f>
      </c>
      <c r="AL54" s="18">
        <f>$H54*M54</f>
      </c>
      <c r="AM54" s="14"/>
      <c r="AN54" s="14"/>
      <c r="AO54" s="14"/>
    </row>
    <row x14ac:dyDescent="0.25" r="55" customHeight="1" ht="17.25">
      <c r="A55" s="2" t="s">
        <v>183</v>
      </c>
      <c r="B55" s="2" t="s">
        <v>95</v>
      </c>
      <c r="C55" s="2" t="s">
        <v>159</v>
      </c>
      <c r="D55" s="2"/>
      <c r="E55" s="2" t="s">
        <v>52</v>
      </c>
      <c r="F55" s="2" t="s">
        <v>43</v>
      </c>
      <c r="G55" s="2" t="s">
        <v>161</v>
      </c>
      <c r="H55" s="13">
        <v>0.562</v>
      </c>
      <c r="I55" s="13"/>
      <c r="J55" s="13">
        <v>1.4</v>
      </c>
      <c r="K55" s="13">
        <v>36.4</v>
      </c>
      <c r="L55" s="13"/>
      <c r="M55" s="13"/>
      <c r="N55" s="15"/>
      <c r="O55" s="16"/>
      <c r="P55" s="13"/>
      <c r="Q55" s="13">
        <v>0.5</v>
      </c>
      <c r="R55" s="17"/>
      <c r="S55" s="13"/>
      <c r="T55" s="17"/>
      <c r="U55" s="13"/>
      <c r="V55" s="16"/>
      <c r="W55" s="13"/>
      <c r="X55" s="13"/>
      <c r="Y55" s="14"/>
      <c r="Z55" s="2"/>
      <c r="AA55" s="13">
        <f>H55*I55/100</f>
      </c>
      <c r="AB55" s="13">
        <f>H55*J55/100</f>
      </c>
      <c r="AC55" s="15">
        <f>H55*K55</f>
      </c>
      <c r="AD55" s="15">
        <f>H55*M55</f>
      </c>
      <c r="AE55" s="13">
        <f>H55*L55/100</f>
      </c>
      <c r="AF55" s="13">
        <f>AA55+AB55+AE55</f>
      </c>
      <c r="AG55" s="13">
        <f>I55+J55+L55</f>
      </c>
      <c r="AH55" s="18">
        <f>$H55*I55</f>
      </c>
      <c r="AI55" s="18">
        <f>$H55*J55</f>
      </c>
      <c r="AJ55" s="18">
        <f>$H55*K55</f>
      </c>
      <c r="AK55" s="18">
        <f>$H55*L55</f>
      </c>
      <c r="AL55" s="18">
        <f>$H55*M55</f>
      </c>
      <c r="AM55" s="14"/>
      <c r="AN55" s="14"/>
      <c r="AO55" s="14"/>
    </row>
    <row x14ac:dyDescent="0.25" r="56" customHeight="1" ht="17.25">
      <c r="A56" s="2" t="s">
        <v>184</v>
      </c>
      <c r="B56" s="2" t="s">
        <v>95</v>
      </c>
      <c r="C56" s="2" t="s">
        <v>40</v>
      </c>
      <c r="D56" s="2" t="s">
        <v>41</v>
      </c>
      <c r="E56" s="2" t="s">
        <v>52</v>
      </c>
      <c r="F56" s="2" t="s">
        <v>128</v>
      </c>
      <c r="G56" s="2" t="s">
        <v>97</v>
      </c>
      <c r="H56" s="13">
        <v>0.694</v>
      </c>
      <c r="I56" s="13">
        <v>1.4</v>
      </c>
      <c r="J56" s="13">
        <v>30.2</v>
      </c>
      <c r="K56" s="14"/>
      <c r="L56" s="13"/>
      <c r="M56" s="13"/>
      <c r="N56" s="15"/>
      <c r="O56" s="16"/>
      <c r="P56" s="13"/>
      <c r="Q56" s="13"/>
      <c r="R56" s="17"/>
      <c r="S56" s="13"/>
      <c r="T56" s="17"/>
      <c r="U56" s="13"/>
      <c r="V56" s="16"/>
      <c r="W56" s="13"/>
      <c r="X56" s="13"/>
      <c r="Y56" s="14"/>
      <c r="Z56" s="2"/>
      <c r="AA56" s="13">
        <f>H56*I56/100</f>
      </c>
      <c r="AB56" s="13">
        <f>H56*J56/100</f>
      </c>
      <c r="AC56" s="15">
        <f>H56*K56</f>
      </c>
      <c r="AD56" s="15">
        <f>H56*M56</f>
      </c>
      <c r="AE56" s="13">
        <f>H56*L56/100</f>
      </c>
      <c r="AF56" s="13">
        <f>AA56+AB56+AE56</f>
      </c>
      <c r="AG56" s="13">
        <f>I56+J56+L56</f>
      </c>
      <c r="AH56" s="18">
        <f>$H56*I56</f>
      </c>
      <c r="AI56" s="18">
        <f>$H56*J56</f>
      </c>
      <c r="AJ56" s="18">
        <f>$H56*K56</f>
      </c>
      <c r="AK56" s="18">
        <f>$H56*L56</f>
      </c>
      <c r="AL56" s="18">
        <f>$H56*M56</f>
      </c>
      <c r="AM56" s="14"/>
      <c r="AN56" s="14"/>
      <c r="AO56" s="14"/>
    </row>
    <row x14ac:dyDescent="0.25" r="57" customHeight="1" ht="17.25">
      <c r="A57" s="2" t="s">
        <v>185</v>
      </c>
      <c r="B57" s="2" t="s">
        <v>95</v>
      </c>
      <c r="C57" s="2" t="s">
        <v>50</v>
      </c>
      <c r="D57" s="2"/>
      <c r="E57" s="2" t="s">
        <v>52</v>
      </c>
      <c r="F57" s="2" t="s">
        <v>186</v>
      </c>
      <c r="G57" s="2" t="s">
        <v>108</v>
      </c>
      <c r="H57" s="13">
        <v>0.425</v>
      </c>
      <c r="I57" s="15">
        <v>6.258823529411764</v>
      </c>
      <c r="J57" s="15">
        <v>11.352941176470589</v>
      </c>
      <c r="K57" s="17">
        <v>112.29411764705883</v>
      </c>
      <c r="L57" s="15">
        <v>0.4882352941176471</v>
      </c>
      <c r="M57" s="15">
        <v>2.2705882352941176</v>
      </c>
      <c r="N57" s="15"/>
      <c r="O57" s="16"/>
      <c r="P57" s="13"/>
      <c r="Q57" s="13"/>
      <c r="R57" s="17"/>
      <c r="S57" s="13"/>
      <c r="T57" s="17"/>
      <c r="U57" s="13"/>
      <c r="V57" s="16"/>
      <c r="W57" s="13"/>
      <c r="X57" s="13"/>
      <c r="Y57" s="14"/>
      <c r="Z57" s="2"/>
      <c r="AA57" s="13">
        <f>H57*I57/100</f>
      </c>
      <c r="AB57" s="13">
        <f>H57*J57/100</f>
      </c>
      <c r="AC57" s="15">
        <f>H57*K57</f>
      </c>
      <c r="AD57" s="15">
        <f>H57*M57</f>
      </c>
      <c r="AE57" s="13">
        <f>H57*L57/100</f>
      </c>
      <c r="AF57" s="13">
        <f>AA57+AB57+AE57</f>
      </c>
      <c r="AG57" s="13">
        <f>I57+J57+L57</f>
      </c>
      <c r="AH57" s="18">
        <f>$H57*I57</f>
      </c>
      <c r="AI57" s="18">
        <f>$H57*J57</f>
      </c>
      <c r="AJ57" s="18">
        <f>$H57*K57</f>
      </c>
      <c r="AK57" s="18">
        <f>$H57*L57</f>
      </c>
      <c r="AL57" s="18">
        <f>$H57*M57</f>
      </c>
      <c r="AM57" s="14"/>
      <c r="AN57" s="14"/>
      <c r="AO57" s="14"/>
    </row>
    <row x14ac:dyDescent="0.25" r="58" customHeight="1" ht="17.25">
      <c r="A58" s="2" t="s">
        <v>187</v>
      </c>
      <c r="B58" s="2" t="s">
        <v>95</v>
      </c>
      <c r="C58" s="2" t="s">
        <v>50</v>
      </c>
      <c r="D58" s="2"/>
      <c r="E58" s="2" t="s">
        <v>52</v>
      </c>
      <c r="F58" s="2" t="s">
        <v>154</v>
      </c>
      <c r="G58" s="2" t="s">
        <v>108</v>
      </c>
      <c r="H58" s="15">
        <v>26.1</v>
      </c>
      <c r="I58" s="15">
        <v>0.28505747126436776</v>
      </c>
      <c r="J58" s="15">
        <v>3.855172413793103</v>
      </c>
      <c r="K58" s="17">
        <v>35.22222222222222</v>
      </c>
      <c r="L58" s="15">
        <v>2.2329501915708816</v>
      </c>
      <c r="M58" s="15">
        <v>0.6609195402298849</v>
      </c>
      <c r="N58" s="15"/>
      <c r="O58" s="16"/>
      <c r="P58" s="13"/>
      <c r="Q58" s="13"/>
      <c r="R58" s="17"/>
      <c r="S58" s="13"/>
      <c r="T58" s="17"/>
      <c r="U58" s="13"/>
      <c r="V58" s="16"/>
      <c r="W58" s="13"/>
      <c r="X58" s="13"/>
      <c r="Y58" s="14"/>
      <c r="Z58" s="2"/>
      <c r="AA58" s="13">
        <f>H58*I58/100</f>
      </c>
      <c r="AB58" s="13">
        <f>H58*J58/100</f>
      </c>
      <c r="AC58" s="15">
        <f>H58*K58</f>
      </c>
      <c r="AD58" s="15">
        <f>H58*M58</f>
      </c>
      <c r="AE58" s="13">
        <f>H58*L58/100</f>
      </c>
      <c r="AF58" s="13">
        <f>AA58+AB58+AE58</f>
      </c>
      <c r="AG58" s="13">
        <f>I58+J58+L58</f>
      </c>
      <c r="AH58" s="18">
        <f>$H58*I58</f>
      </c>
      <c r="AI58" s="18">
        <f>$H58*J58</f>
      </c>
      <c r="AJ58" s="18">
        <f>$H58*K58</f>
      </c>
      <c r="AK58" s="18">
        <f>$H58*L58</f>
      </c>
      <c r="AL58" s="18">
        <f>$H58*M58</f>
      </c>
      <c r="AM58" s="14"/>
      <c r="AN58" s="14"/>
      <c r="AO58" s="14"/>
    </row>
    <row x14ac:dyDescent="0.25" r="59" customHeight="1" ht="17.25">
      <c r="A59" s="2" t="s">
        <v>188</v>
      </c>
      <c r="B59" s="2" t="s">
        <v>95</v>
      </c>
      <c r="C59" s="2" t="s">
        <v>159</v>
      </c>
      <c r="D59" s="2" t="s">
        <v>189</v>
      </c>
      <c r="E59" s="2" t="s">
        <v>52</v>
      </c>
      <c r="F59" s="2" t="s">
        <v>43</v>
      </c>
      <c r="G59" s="2" t="s">
        <v>106</v>
      </c>
      <c r="H59" s="13">
        <v>0.45</v>
      </c>
      <c r="I59" s="13">
        <v>1.5</v>
      </c>
      <c r="J59" s="13">
        <v>1.25</v>
      </c>
      <c r="K59" s="14">
        <v>100</v>
      </c>
      <c r="L59" s="13"/>
      <c r="M59" s="13"/>
      <c r="N59" s="15"/>
      <c r="O59" s="16"/>
      <c r="P59" s="13"/>
      <c r="Q59" s="13"/>
      <c r="R59" s="17"/>
      <c r="S59" s="13"/>
      <c r="T59" s="17"/>
      <c r="U59" s="13"/>
      <c r="V59" s="16"/>
      <c r="W59" s="13"/>
      <c r="X59" s="13"/>
      <c r="Y59" s="14"/>
      <c r="Z59" s="2"/>
      <c r="AA59" s="13">
        <f>H59*I59/100</f>
      </c>
      <c r="AB59" s="13">
        <f>H59*J59/100</f>
      </c>
      <c r="AC59" s="15">
        <f>H59*K59</f>
      </c>
      <c r="AD59" s="15">
        <f>H59*M59</f>
      </c>
      <c r="AE59" s="13">
        <f>H59*L59/100</f>
      </c>
      <c r="AF59" s="13">
        <f>AA59+AB59+AE59</f>
      </c>
      <c r="AG59" s="13">
        <f>I59+J59+L59</f>
      </c>
      <c r="AH59" s="18">
        <f>$H59*I59</f>
      </c>
      <c r="AI59" s="18">
        <f>$H59*J59</f>
      </c>
      <c r="AJ59" s="18">
        <f>$H59*K59</f>
      </c>
      <c r="AK59" s="18">
        <f>$H59*L59</f>
      </c>
      <c r="AL59" s="18">
        <f>$H59*M59</f>
      </c>
      <c r="AM59" s="14"/>
      <c r="AN59" s="14"/>
      <c r="AO59" s="14"/>
    </row>
    <row x14ac:dyDescent="0.25" r="60" customHeight="1" ht="17.25">
      <c r="A60" s="2" t="s">
        <v>190</v>
      </c>
      <c r="B60" s="2" t="s">
        <v>95</v>
      </c>
      <c r="C60" s="2" t="s">
        <v>134</v>
      </c>
      <c r="D60" s="2"/>
      <c r="E60" s="2" t="s">
        <v>52</v>
      </c>
      <c r="F60" s="2" t="s">
        <v>191</v>
      </c>
      <c r="G60" s="2" t="s">
        <v>106</v>
      </c>
      <c r="H60" s="13">
        <v>0.067</v>
      </c>
      <c r="I60" s="13">
        <v>0.73</v>
      </c>
      <c r="J60" s="13">
        <v>0.25</v>
      </c>
      <c r="K60" s="14">
        <v>16</v>
      </c>
      <c r="L60" s="13"/>
      <c r="M60" s="13">
        <v>4.97</v>
      </c>
      <c r="N60" s="15"/>
      <c r="O60" s="16"/>
      <c r="P60" s="13"/>
      <c r="Q60" s="13"/>
      <c r="R60" s="17"/>
      <c r="S60" s="13"/>
      <c r="T60" s="17"/>
      <c r="U60" s="13"/>
      <c r="V60" s="16"/>
      <c r="W60" s="13"/>
      <c r="X60" s="13"/>
      <c r="Y60" s="14"/>
      <c r="Z60" s="2"/>
      <c r="AA60" s="13">
        <f>H60*I60/100</f>
      </c>
      <c r="AB60" s="13">
        <f>H60*J60/100</f>
      </c>
      <c r="AC60" s="15">
        <f>H60*K60</f>
      </c>
      <c r="AD60" s="15">
        <f>H60*M60</f>
      </c>
      <c r="AE60" s="13">
        <f>H60*L60/100</f>
      </c>
      <c r="AF60" s="13">
        <f>AA60+AB60+AE60</f>
      </c>
      <c r="AG60" s="13">
        <f>I60+J60+L60</f>
      </c>
      <c r="AH60" s="18">
        <f>$H60*I60</f>
      </c>
      <c r="AI60" s="18">
        <f>$H60*J60</f>
      </c>
      <c r="AJ60" s="18">
        <f>$H60*K60</f>
      </c>
      <c r="AK60" s="18">
        <f>$H60*L60</f>
      </c>
      <c r="AL60" s="18">
        <f>$H60*M60</f>
      </c>
      <c r="AM60" s="14"/>
      <c r="AN60" s="14"/>
      <c r="AO60" s="14"/>
    </row>
    <row x14ac:dyDescent="0.25" r="61" customHeight="1" ht="17.25">
      <c r="A61" s="2" t="s">
        <v>192</v>
      </c>
      <c r="B61" s="2" t="s">
        <v>95</v>
      </c>
      <c r="C61" s="2" t="s">
        <v>50</v>
      </c>
      <c r="D61" s="2"/>
      <c r="E61" s="2" t="s">
        <v>52</v>
      </c>
      <c r="F61" s="2" t="s">
        <v>193</v>
      </c>
      <c r="G61" s="2" t="s">
        <v>194</v>
      </c>
      <c r="H61" s="13">
        <v>0.2</v>
      </c>
      <c r="I61" s="13"/>
      <c r="J61" s="14">
        <v>5</v>
      </c>
      <c r="K61" s="14"/>
      <c r="L61" s="13"/>
      <c r="M61" s="13"/>
      <c r="N61" s="15"/>
      <c r="O61" s="16"/>
      <c r="P61" s="13"/>
      <c r="Q61" s="13"/>
      <c r="R61" s="17"/>
      <c r="S61" s="13"/>
      <c r="T61" s="17"/>
      <c r="U61" s="13"/>
      <c r="V61" s="16"/>
      <c r="W61" s="13"/>
      <c r="X61" s="13"/>
      <c r="Y61" s="14"/>
      <c r="Z61" s="2"/>
      <c r="AA61" s="13">
        <f>H61*I61/100</f>
      </c>
      <c r="AB61" s="13">
        <f>H61*J61/100</f>
      </c>
      <c r="AC61" s="15">
        <f>H61*K61</f>
      </c>
      <c r="AD61" s="15">
        <f>H61*M61</f>
      </c>
      <c r="AE61" s="13">
        <f>H61*L61/100</f>
      </c>
      <c r="AF61" s="13">
        <f>AA61+AB61+AE61</f>
      </c>
      <c r="AG61" s="13">
        <f>I61+J61+L61</f>
      </c>
      <c r="AH61" s="18">
        <f>$H61*I61</f>
      </c>
      <c r="AI61" s="18">
        <f>$H61*J61</f>
      </c>
      <c r="AJ61" s="18">
        <f>$H61*K61</f>
      </c>
      <c r="AK61" s="18">
        <f>$H61*L61</f>
      </c>
      <c r="AL61" s="18">
        <f>$H61*M61</f>
      </c>
      <c r="AM61" s="14"/>
      <c r="AN61" s="14"/>
      <c r="AO61" s="14"/>
    </row>
    <row x14ac:dyDescent="0.25" r="62" customHeight="1" ht="17.25">
      <c r="A62" s="2" t="s">
        <v>195</v>
      </c>
      <c r="B62" s="2" t="s">
        <v>95</v>
      </c>
      <c r="C62" s="2" t="s">
        <v>50</v>
      </c>
      <c r="D62" s="2"/>
      <c r="E62" s="2" t="s">
        <v>52</v>
      </c>
      <c r="F62" s="2" t="s">
        <v>186</v>
      </c>
      <c r="G62" s="2" t="s">
        <v>108</v>
      </c>
      <c r="H62" s="13">
        <v>0.75</v>
      </c>
      <c r="I62" s="15">
        <v>4.132000000000001</v>
      </c>
      <c r="J62" s="15">
        <v>6.990666666666667</v>
      </c>
      <c r="K62" s="17">
        <v>104.06666666666668</v>
      </c>
      <c r="L62" s="15">
        <v>0.3706666666666667</v>
      </c>
      <c r="M62" s="15">
        <v>1.3293333333333335</v>
      </c>
      <c r="N62" s="15"/>
      <c r="O62" s="16"/>
      <c r="P62" s="13"/>
      <c r="Q62" s="13"/>
      <c r="R62" s="17"/>
      <c r="S62" s="13"/>
      <c r="T62" s="17"/>
      <c r="U62" s="13"/>
      <c r="V62" s="16"/>
      <c r="W62" s="13"/>
      <c r="X62" s="13"/>
      <c r="Y62" s="14"/>
      <c r="Z62" s="2"/>
      <c r="AA62" s="13">
        <f>H62*I62/100</f>
      </c>
      <c r="AB62" s="13">
        <f>H62*J62/100</f>
      </c>
      <c r="AC62" s="15">
        <f>H62*K62</f>
      </c>
      <c r="AD62" s="15">
        <f>H62*M62</f>
      </c>
      <c r="AE62" s="13">
        <f>H62*L62/100</f>
      </c>
      <c r="AF62" s="13">
        <f>AA62+AB62+AE62</f>
      </c>
      <c r="AG62" s="13">
        <f>I62+J62+L62</f>
      </c>
      <c r="AH62" s="18">
        <f>$H62*I62</f>
      </c>
      <c r="AI62" s="18">
        <f>$H62*J62</f>
      </c>
      <c r="AJ62" s="18">
        <f>$H62*K62</f>
      </c>
      <c r="AK62" s="18">
        <f>$H62*L62</f>
      </c>
      <c r="AL62" s="18">
        <f>$H62*M62</f>
      </c>
      <c r="AM62" s="14"/>
      <c r="AN62" s="14"/>
      <c r="AO62" s="14"/>
    </row>
    <row x14ac:dyDescent="0.25" r="63" customHeight="1" ht="17.25">
      <c r="A63" s="2" t="s">
        <v>196</v>
      </c>
      <c r="B63" s="2" t="s">
        <v>95</v>
      </c>
      <c r="C63" s="21" t="s">
        <v>197</v>
      </c>
      <c r="D63" s="21" t="s">
        <v>197</v>
      </c>
      <c r="E63" s="21" t="s">
        <v>198</v>
      </c>
      <c r="F63" s="2" t="s">
        <v>199</v>
      </c>
      <c r="G63" s="2" t="s">
        <v>200</v>
      </c>
      <c r="H63" s="13">
        <v>9.5</v>
      </c>
      <c r="I63" s="15">
        <v>3</v>
      </c>
      <c r="J63" s="13">
        <v>2.5</v>
      </c>
      <c r="K63" s="14">
        <v>104</v>
      </c>
      <c r="L63" s="13">
        <v>0.2</v>
      </c>
      <c r="M63" s="13">
        <v>2.6</v>
      </c>
      <c r="N63" s="15"/>
      <c r="O63" s="16"/>
      <c r="P63" s="13"/>
      <c r="Q63" s="13"/>
      <c r="R63" s="17"/>
      <c r="S63" s="13"/>
      <c r="T63" s="17"/>
      <c r="U63" s="13"/>
      <c r="V63" s="16"/>
      <c r="W63" s="13"/>
      <c r="X63" s="13"/>
      <c r="Y63" s="14"/>
      <c r="Z63" s="2"/>
      <c r="AA63" s="13">
        <f>H63*I63/100</f>
      </c>
      <c r="AB63" s="13">
        <f>H63*J63/100</f>
      </c>
      <c r="AC63" s="15">
        <f>H63*K63</f>
      </c>
      <c r="AD63" s="15">
        <f>H63*M63</f>
      </c>
      <c r="AE63" s="13">
        <f>H63*L63/100</f>
      </c>
      <c r="AF63" s="13">
        <f>AA63+AB63+AE63</f>
      </c>
      <c r="AG63" s="13">
        <f>I63+J63+L63</f>
      </c>
      <c r="AH63" s="18">
        <f>$H63*I63</f>
      </c>
      <c r="AI63" s="18">
        <f>$H63*J63</f>
      </c>
      <c r="AJ63" s="18">
        <f>$H63*K63</f>
      </c>
      <c r="AK63" s="18">
        <f>$H63*L63</f>
      </c>
      <c r="AL63" s="18">
        <f>$H63*M63</f>
      </c>
      <c r="AM63" s="14"/>
      <c r="AN63" s="14"/>
      <c r="AO63" s="14"/>
    </row>
    <row x14ac:dyDescent="0.25" r="64" customHeight="1" ht="17.25">
      <c r="A64" s="2" t="s">
        <v>201</v>
      </c>
      <c r="B64" s="2" t="s">
        <v>95</v>
      </c>
      <c r="C64" s="2" t="s">
        <v>40</v>
      </c>
      <c r="D64" s="2" t="s">
        <v>64</v>
      </c>
      <c r="E64" s="2" t="s">
        <v>52</v>
      </c>
      <c r="F64" s="2" t="s">
        <v>202</v>
      </c>
      <c r="G64" s="2" t="s">
        <v>108</v>
      </c>
      <c r="H64" s="13">
        <v>2.444</v>
      </c>
      <c r="I64" s="13">
        <v>2.8</v>
      </c>
      <c r="J64" s="13">
        <v>3.8</v>
      </c>
      <c r="K64" s="13">
        <v>16.7</v>
      </c>
      <c r="L64" s="13">
        <v>0.2</v>
      </c>
      <c r="M64" s="13">
        <v>4.1</v>
      </c>
      <c r="N64" s="15"/>
      <c r="O64" s="16"/>
      <c r="P64" s="13"/>
      <c r="Q64" s="13"/>
      <c r="R64" s="17"/>
      <c r="S64" s="13"/>
      <c r="T64" s="17"/>
      <c r="U64" s="13"/>
      <c r="V64" s="16"/>
      <c r="W64" s="13"/>
      <c r="X64" s="13"/>
      <c r="Y64" s="14"/>
      <c r="Z64" s="2"/>
      <c r="AA64" s="13">
        <f>H64*I64/100</f>
      </c>
      <c r="AB64" s="13">
        <f>H64*J64/100</f>
      </c>
      <c r="AC64" s="15">
        <f>H64*K64</f>
      </c>
      <c r="AD64" s="15">
        <f>H64*M64</f>
      </c>
      <c r="AE64" s="13">
        <f>H64*L64/100</f>
      </c>
      <c r="AF64" s="13">
        <f>AA64+AB64+AE64</f>
      </c>
      <c r="AG64" s="13">
        <f>I64+J64+L64</f>
      </c>
      <c r="AH64" s="18">
        <f>$H64*I64</f>
      </c>
      <c r="AI64" s="18">
        <f>$H64*J64</f>
      </c>
      <c r="AJ64" s="18">
        <f>$H64*K64</f>
      </c>
      <c r="AK64" s="18">
        <f>$H64*L64</f>
      </c>
      <c r="AL64" s="18">
        <f>$H64*M64</f>
      </c>
      <c r="AM64" s="14"/>
      <c r="AN64" s="14"/>
      <c r="AO64" s="14"/>
    </row>
    <row x14ac:dyDescent="0.25" r="65" customHeight="1" ht="17.25">
      <c r="A65" s="2" t="s">
        <v>203</v>
      </c>
      <c r="B65" s="2" t="s">
        <v>95</v>
      </c>
      <c r="C65" s="2" t="s">
        <v>50</v>
      </c>
      <c r="D65" s="2"/>
      <c r="E65" s="2" t="s">
        <v>52</v>
      </c>
      <c r="F65" s="2" t="s">
        <v>204</v>
      </c>
      <c r="G65" s="2" t="s">
        <v>151</v>
      </c>
      <c r="H65" s="13">
        <v>0.215</v>
      </c>
      <c r="I65" s="13">
        <v>1.5</v>
      </c>
      <c r="J65" s="13">
        <v>1.3</v>
      </c>
      <c r="K65" s="14">
        <v>23</v>
      </c>
      <c r="L65" s="13"/>
      <c r="M65" s="13">
        <v>3.5</v>
      </c>
      <c r="N65" s="15"/>
      <c r="O65" s="16"/>
      <c r="P65" s="13"/>
      <c r="Q65" s="13"/>
      <c r="R65" s="17"/>
      <c r="S65" s="13"/>
      <c r="T65" s="17"/>
      <c r="U65" s="13"/>
      <c r="V65" s="16"/>
      <c r="W65" s="13"/>
      <c r="X65" s="13"/>
      <c r="Y65" s="14"/>
      <c r="Z65" s="2"/>
      <c r="AA65" s="13">
        <f>H65*I65/100</f>
      </c>
      <c r="AB65" s="13">
        <f>H65*J65/100</f>
      </c>
      <c r="AC65" s="15">
        <f>H65*K65</f>
      </c>
      <c r="AD65" s="15">
        <f>H65*M65</f>
      </c>
      <c r="AE65" s="13">
        <f>H65*L65/100</f>
      </c>
      <c r="AF65" s="13">
        <f>AA65+AB65+AE65</f>
      </c>
      <c r="AG65" s="13">
        <f>I65+J65+L65</f>
      </c>
      <c r="AH65" s="18">
        <f>$H65*I65</f>
      </c>
      <c r="AI65" s="18">
        <f>$H65*J65</f>
      </c>
      <c r="AJ65" s="18">
        <f>$H65*K65</f>
      </c>
      <c r="AK65" s="18">
        <f>$H65*L65</f>
      </c>
      <c r="AL65" s="18">
        <f>$H65*M65</f>
      </c>
      <c r="AM65" s="14"/>
      <c r="AN65" s="14"/>
      <c r="AO65" s="14"/>
    </row>
    <row x14ac:dyDescent="0.25" r="66" customHeight="1" ht="17.25">
      <c r="A66" s="2" t="s">
        <v>205</v>
      </c>
      <c r="B66" s="2" t="s">
        <v>95</v>
      </c>
      <c r="C66" s="2" t="s">
        <v>40</v>
      </c>
      <c r="D66" s="2" t="s">
        <v>64</v>
      </c>
      <c r="E66" s="2" t="s">
        <v>52</v>
      </c>
      <c r="F66" s="2" t="s">
        <v>206</v>
      </c>
      <c r="G66" s="2" t="s">
        <v>207</v>
      </c>
      <c r="H66" s="13">
        <v>4.7</v>
      </c>
      <c r="I66" s="15">
        <v>2.0170212765957447</v>
      </c>
      <c r="J66" s="15">
        <v>4.81063829787234</v>
      </c>
      <c r="K66" s="15">
        <v>48.106382978723396</v>
      </c>
      <c r="L66" s="13">
        <v>0.2</v>
      </c>
      <c r="M66" s="13"/>
      <c r="N66" s="15"/>
      <c r="O66" s="16"/>
      <c r="P66" s="13"/>
      <c r="Q66" s="13"/>
      <c r="R66" s="17"/>
      <c r="S66" s="13"/>
      <c r="T66" s="17"/>
      <c r="U66" s="13"/>
      <c r="V66" s="16"/>
      <c r="W66" s="13"/>
      <c r="X66" s="13"/>
      <c r="Y66" s="14"/>
      <c r="Z66" s="2"/>
      <c r="AA66" s="13">
        <f>H66*I66/100</f>
      </c>
      <c r="AB66" s="13">
        <f>H66*J66/100</f>
      </c>
      <c r="AC66" s="15">
        <f>H66*K66</f>
      </c>
      <c r="AD66" s="15">
        <f>H66*M66</f>
      </c>
      <c r="AE66" s="13">
        <f>H66*L66/100</f>
      </c>
      <c r="AF66" s="13">
        <f>AA66+AB66+AE66</f>
      </c>
      <c r="AG66" s="13">
        <f>I66+J66+L66</f>
      </c>
      <c r="AH66" s="18">
        <f>$H66*I66</f>
      </c>
      <c r="AI66" s="18">
        <f>$H66*J66</f>
      </c>
      <c r="AJ66" s="18">
        <f>$H66*K66</f>
      </c>
      <c r="AK66" s="18">
        <f>$H66*L66</f>
      </c>
      <c r="AL66" s="18">
        <f>$H66*M66</f>
      </c>
      <c r="AM66" s="14"/>
      <c r="AN66" s="14"/>
      <c r="AO66" s="14"/>
    </row>
    <row x14ac:dyDescent="0.25" r="67" customHeight="1" ht="17.25">
      <c r="A67" s="2" t="s">
        <v>208</v>
      </c>
      <c r="B67" s="2" t="s">
        <v>95</v>
      </c>
      <c r="C67" s="2" t="s">
        <v>50</v>
      </c>
      <c r="D67" s="2"/>
      <c r="E67" s="2" t="s">
        <v>52</v>
      </c>
      <c r="F67" s="2" t="s">
        <v>124</v>
      </c>
      <c r="G67" s="2" t="s">
        <v>108</v>
      </c>
      <c r="H67" s="13">
        <v>0.475</v>
      </c>
      <c r="I67" s="13"/>
      <c r="J67" s="13">
        <v>2.8</v>
      </c>
      <c r="K67" s="14">
        <v>39</v>
      </c>
      <c r="L67" s="13">
        <v>2.2</v>
      </c>
      <c r="M67" s="13"/>
      <c r="N67" s="15"/>
      <c r="O67" s="16"/>
      <c r="P67" s="13"/>
      <c r="Q67" s="13"/>
      <c r="R67" s="17"/>
      <c r="S67" s="13"/>
      <c r="T67" s="17"/>
      <c r="U67" s="13"/>
      <c r="V67" s="16"/>
      <c r="W67" s="13"/>
      <c r="X67" s="13"/>
      <c r="Y67" s="14"/>
      <c r="Z67" s="2"/>
      <c r="AA67" s="13">
        <f>H67*I67/100</f>
      </c>
      <c r="AB67" s="13">
        <f>H67*J67/100</f>
      </c>
      <c r="AC67" s="15">
        <f>H67*K67</f>
      </c>
      <c r="AD67" s="15">
        <f>H67*M67</f>
      </c>
      <c r="AE67" s="13">
        <f>H67*L67/100</f>
      </c>
      <c r="AF67" s="13">
        <f>AA67+AB67+AE67</f>
      </c>
      <c r="AG67" s="13">
        <f>I67+J67+L67</f>
      </c>
      <c r="AH67" s="18">
        <f>$H67*I67</f>
      </c>
      <c r="AI67" s="18">
        <f>$H67*J67</f>
      </c>
      <c r="AJ67" s="18">
        <f>$H67*K67</f>
      </c>
      <c r="AK67" s="18">
        <f>$H67*L67</f>
      </c>
      <c r="AL67" s="18">
        <f>$H67*M67</f>
      </c>
      <c r="AM67" s="14"/>
      <c r="AN67" s="14"/>
      <c r="AO67" s="14"/>
    </row>
    <row x14ac:dyDescent="0.25" r="68" customHeight="1" ht="17.25">
      <c r="A68" s="2" t="s">
        <v>209</v>
      </c>
      <c r="B68" s="2" t="s">
        <v>95</v>
      </c>
      <c r="C68" s="2" t="s">
        <v>50</v>
      </c>
      <c r="D68" s="2" t="s">
        <v>210</v>
      </c>
      <c r="E68" s="2" t="s">
        <v>52</v>
      </c>
      <c r="F68" s="2" t="s">
        <v>211</v>
      </c>
      <c r="G68" s="2" t="s">
        <v>97</v>
      </c>
      <c r="H68" s="15">
        <v>1</v>
      </c>
      <c r="I68" s="13">
        <v>2.58</v>
      </c>
      <c r="J68" s="13">
        <v>2.21</v>
      </c>
      <c r="K68" s="13">
        <v>73.2</v>
      </c>
      <c r="L68" s="13">
        <v>0.89</v>
      </c>
      <c r="M68" s="13"/>
      <c r="N68" s="15"/>
      <c r="O68" s="16"/>
      <c r="P68" s="13"/>
      <c r="Q68" s="13"/>
      <c r="R68" s="17"/>
      <c r="S68" s="13"/>
      <c r="T68" s="17"/>
      <c r="U68" s="13"/>
      <c r="V68" s="16"/>
      <c r="W68" s="13"/>
      <c r="X68" s="13"/>
      <c r="Y68" s="14"/>
      <c r="Z68" s="2"/>
      <c r="AA68" s="13">
        <f>H68*I68/100</f>
      </c>
      <c r="AB68" s="13">
        <f>H68*J68/100</f>
      </c>
      <c r="AC68" s="15">
        <f>H68*K68</f>
      </c>
      <c r="AD68" s="15">
        <f>H68*M68</f>
      </c>
      <c r="AE68" s="13">
        <f>H68*L68/100</f>
      </c>
      <c r="AF68" s="13">
        <f>AA68+AB68+AE68</f>
      </c>
      <c r="AG68" s="13">
        <f>I68+J68+L68</f>
      </c>
      <c r="AH68" s="18">
        <f>$H68*I68</f>
      </c>
      <c r="AI68" s="18">
        <f>$H68*J68</f>
      </c>
      <c r="AJ68" s="18">
        <f>$H68*K68</f>
      </c>
      <c r="AK68" s="18">
        <f>$H68*L68</f>
      </c>
      <c r="AL68" s="18">
        <f>$H68*M68</f>
      </c>
      <c r="AM68" s="14"/>
      <c r="AN68" s="14"/>
      <c r="AO68" s="14"/>
    </row>
    <row x14ac:dyDescent="0.25" r="69" customHeight="1" ht="17.25">
      <c r="A69" s="2" t="s">
        <v>212</v>
      </c>
      <c r="B69" s="2" t="s">
        <v>95</v>
      </c>
      <c r="C69" s="2" t="s">
        <v>40</v>
      </c>
      <c r="D69" s="2" t="s">
        <v>41</v>
      </c>
      <c r="E69" s="2" t="s">
        <v>52</v>
      </c>
      <c r="F69" s="2" t="s">
        <v>213</v>
      </c>
      <c r="G69" s="2" t="s">
        <v>108</v>
      </c>
      <c r="H69" s="13">
        <v>10.4</v>
      </c>
      <c r="I69" s="13">
        <v>0.2</v>
      </c>
      <c r="J69" s="13">
        <v>2.7</v>
      </c>
      <c r="K69" s="14">
        <v>1</v>
      </c>
      <c r="L69" s="13"/>
      <c r="M69" s="13"/>
      <c r="N69" s="15"/>
      <c r="O69" s="16"/>
      <c r="P69" s="13"/>
      <c r="Q69" s="13"/>
      <c r="R69" s="17"/>
      <c r="S69" s="13"/>
      <c r="T69" s="17"/>
      <c r="U69" s="13"/>
      <c r="V69" s="16"/>
      <c r="W69" s="13"/>
      <c r="X69" s="13"/>
      <c r="Y69" s="14"/>
      <c r="Z69" s="2"/>
      <c r="AA69" s="13">
        <f>H69*I69/100</f>
      </c>
      <c r="AB69" s="13">
        <f>H69*J69/100</f>
      </c>
      <c r="AC69" s="15">
        <f>H69*K69</f>
      </c>
      <c r="AD69" s="15">
        <f>H69*M69</f>
      </c>
      <c r="AE69" s="13">
        <f>H69*L69/100</f>
      </c>
      <c r="AF69" s="13">
        <f>AA69+AB69+AE69</f>
      </c>
      <c r="AG69" s="13">
        <f>I69+J69+L69</f>
      </c>
      <c r="AH69" s="18">
        <f>$H69*I69</f>
      </c>
      <c r="AI69" s="18">
        <f>$H69*J69</f>
      </c>
      <c r="AJ69" s="18">
        <f>$H69*K69</f>
      </c>
      <c r="AK69" s="18">
        <f>$H69*L69</f>
      </c>
      <c r="AL69" s="18">
        <f>$H69*M69</f>
      </c>
      <c r="AM69" s="14"/>
      <c r="AN69" s="14"/>
      <c r="AO69" s="14"/>
    </row>
    <row x14ac:dyDescent="0.25" r="70" customHeight="1" ht="17.25">
      <c r="A70" s="2" t="s">
        <v>214</v>
      </c>
      <c r="B70" s="2" t="s">
        <v>95</v>
      </c>
      <c r="C70" s="2" t="s">
        <v>50</v>
      </c>
      <c r="D70" s="2"/>
      <c r="E70" s="2" t="s">
        <v>52</v>
      </c>
      <c r="F70" s="2" t="s">
        <v>215</v>
      </c>
      <c r="G70" s="2" t="s">
        <v>108</v>
      </c>
      <c r="H70" s="13">
        <v>6.3</v>
      </c>
      <c r="I70" s="13"/>
      <c r="J70" s="13">
        <v>3.3</v>
      </c>
      <c r="K70" s="13">
        <v>12.1</v>
      </c>
      <c r="L70" s="13">
        <v>0.5</v>
      </c>
      <c r="M70" s="13"/>
      <c r="N70" s="15"/>
      <c r="O70" s="16"/>
      <c r="P70" s="13"/>
      <c r="Q70" s="13"/>
      <c r="R70" s="17"/>
      <c r="S70" s="13"/>
      <c r="T70" s="17"/>
      <c r="U70" s="13"/>
      <c r="V70" s="16"/>
      <c r="W70" s="13"/>
      <c r="X70" s="13"/>
      <c r="Y70" s="14"/>
      <c r="Z70" s="2"/>
      <c r="AA70" s="13">
        <f>H70*I70/100</f>
      </c>
      <c r="AB70" s="13">
        <f>H70*J70/100</f>
      </c>
      <c r="AC70" s="15">
        <f>H70*K70</f>
      </c>
      <c r="AD70" s="15">
        <f>H70*M70</f>
      </c>
      <c r="AE70" s="13">
        <f>H70*L70/100</f>
      </c>
      <c r="AF70" s="13">
        <f>AA70+AB70+AE70</f>
      </c>
      <c r="AG70" s="13">
        <f>I70+J70+L70</f>
      </c>
      <c r="AH70" s="18">
        <f>$H70*I70</f>
      </c>
      <c r="AI70" s="18">
        <f>$H70*J70</f>
      </c>
      <c r="AJ70" s="18">
        <f>$H70*K70</f>
      </c>
      <c r="AK70" s="18">
        <f>$H70*L70</f>
      </c>
      <c r="AL70" s="18">
        <f>$H70*M70</f>
      </c>
      <c r="AM70" s="14"/>
      <c r="AN70" s="14"/>
      <c r="AO70" s="14"/>
    </row>
    <row x14ac:dyDescent="0.25" r="71" customHeight="1" ht="17.25">
      <c r="A71" s="2" t="s">
        <v>216</v>
      </c>
      <c r="B71" s="2" t="s">
        <v>95</v>
      </c>
      <c r="C71" s="2" t="s">
        <v>68</v>
      </c>
      <c r="D71" s="2" t="s">
        <v>217</v>
      </c>
      <c r="E71" s="2" t="s">
        <v>52</v>
      </c>
      <c r="F71" s="2" t="s">
        <v>218</v>
      </c>
      <c r="G71" s="2" t="s">
        <v>103</v>
      </c>
      <c r="H71" s="13">
        <v>2.75</v>
      </c>
      <c r="I71" s="15">
        <v>1</v>
      </c>
      <c r="J71" s="13">
        <v>1.3</v>
      </c>
      <c r="K71" s="14">
        <v>24</v>
      </c>
      <c r="L71" s="13">
        <v>0.18</v>
      </c>
      <c r="M71" s="13">
        <v>0.5</v>
      </c>
      <c r="N71" s="15"/>
      <c r="O71" s="16"/>
      <c r="P71" s="13"/>
      <c r="Q71" s="13"/>
      <c r="R71" s="17"/>
      <c r="S71" s="13"/>
      <c r="T71" s="17"/>
      <c r="U71" s="13"/>
      <c r="V71" s="16"/>
      <c r="W71" s="13"/>
      <c r="X71" s="13"/>
      <c r="Y71" s="14"/>
      <c r="Z71" s="2"/>
      <c r="AA71" s="13">
        <f>H71*I71/100</f>
      </c>
      <c r="AB71" s="13">
        <f>H71*J71/100</f>
      </c>
      <c r="AC71" s="15">
        <f>H71*K71</f>
      </c>
      <c r="AD71" s="15">
        <f>H71*M71</f>
      </c>
      <c r="AE71" s="13">
        <f>H71*L71/100</f>
      </c>
      <c r="AF71" s="13">
        <f>AA71+AB71+AE71</f>
      </c>
      <c r="AG71" s="13">
        <f>I71+J71+L71</f>
      </c>
      <c r="AH71" s="18">
        <f>$H71*I71</f>
      </c>
      <c r="AI71" s="18">
        <f>$H71*J71</f>
      </c>
      <c r="AJ71" s="18">
        <f>$H71*K71</f>
      </c>
      <c r="AK71" s="18">
        <f>$H71*L71</f>
      </c>
      <c r="AL71" s="18">
        <f>$H71*M71</f>
      </c>
      <c r="AM71" s="14"/>
      <c r="AN71" s="14"/>
      <c r="AO71" s="14"/>
    </row>
    <row x14ac:dyDescent="0.25" r="72" customHeight="1" ht="17.25">
      <c r="A72" s="2" t="s">
        <v>219</v>
      </c>
      <c r="B72" s="2" t="s">
        <v>95</v>
      </c>
      <c r="C72" s="2" t="s">
        <v>50</v>
      </c>
      <c r="D72" s="2"/>
      <c r="E72" s="2" t="s">
        <v>52</v>
      </c>
      <c r="F72" s="2" t="s">
        <v>220</v>
      </c>
      <c r="G72" s="2" t="s">
        <v>103</v>
      </c>
      <c r="H72" s="13">
        <v>21.8</v>
      </c>
      <c r="I72" s="13">
        <v>0.44935779816513766</v>
      </c>
      <c r="J72" s="15">
        <v>0.9422018348623854</v>
      </c>
      <c r="K72" s="17">
        <v>47.027522935779814</v>
      </c>
      <c r="L72" s="13"/>
      <c r="M72" s="13">
        <v>0.12449541284403672</v>
      </c>
      <c r="N72" s="15"/>
      <c r="O72" s="16"/>
      <c r="P72" s="13"/>
      <c r="Q72" s="13"/>
      <c r="R72" s="17"/>
      <c r="S72" s="13"/>
      <c r="T72" s="17"/>
      <c r="U72" s="13"/>
      <c r="V72" s="16"/>
      <c r="W72" s="13"/>
      <c r="X72" s="13"/>
      <c r="Y72" s="14"/>
      <c r="Z72" s="2"/>
      <c r="AA72" s="13">
        <f>H72*I72/100</f>
      </c>
      <c r="AB72" s="13">
        <f>H72*J72/100</f>
      </c>
      <c r="AC72" s="15">
        <f>H72*K72</f>
      </c>
      <c r="AD72" s="15">
        <f>H72*M72</f>
      </c>
      <c r="AE72" s="13">
        <f>H72*L72/100</f>
      </c>
      <c r="AF72" s="13">
        <f>AA72+AB72+AE72</f>
      </c>
      <c r="AG72" s="13">
        <f>I72+J72+L72</f>
      </c>
      <c r="AH72" s="18">
        <f>$H72*I72</f>
      </c>
      <c r="AI72" s="18">
        <f>$H72*J72</f>
      </c>
      <c r="AJ72" s="18">
        <f>$H72*K72</f>
      </c>
      <c r="AK72" s="18">
        <f>$H72*L72</f>
      </c>
      <c r="AL72" s="18">
        <f>$H72*M72</f>
      </c>
      <c r="AM72" s="14"/>
      <c r="AN72" s="14"/>
      <c r="AO72" s="14"/>
    </row>
    <row x14ac:dyDescent="0.25" r="73" customHeight="1" ht="17.25">
      <c r="A73" s="2" t="s">
        <v>221</v>
      </c>
      <c r="B73" s="2" t="s">
        <v>95</v>
      </c>
      <c r="C73" s="2" t="s">
        <v>50</v>
      </c>
      <c r="D73" s="2"/>
      <c r="E73" s="2" t="s">
        <v>52</v>
      </c>
      <c r="F73" s="2" t="s">
        <v>222</v>
      </c>
      <c r="G73" s="2" t="s">
        <v>194</v>
      </c>
      <c r="H73" s="13">
        <v>5.75</v>
      </c>
      <c r="I73" s="13"/>
      <c r="J73" s="13">
        <v>0.34747826086956524</v>
      </c>
      <c r="K73" s="13">
        <v>2.3021043478260865</v>
      </c>
      <c r="L73" s="13">
        <v>1.0313043478260868</v>
      </c>
      <c r="M73" s="13">
        <v>0.050504347826086954</v>
      </c>
      <c r="N73" s="15"/>
      <c r="O73" s="16"/>
      <c r="P73" s="13"/>
      <c r="Q73" s="13"/>
      <c r="R73" s="17"/>
      <c r="S73" s="13"/>
      <c r="T73" s="17"/>
      <c r="U73" s="13"/>
      <c r="V73" s="16"/>
      <c r="W73" s="13"/>
      <c r="X73" s="13"/>
      <c r="Y73" s="14"/>
      <c r="Z73" s="2"/>
      <c r="AA73" s="13">
        <f>H73*I73/100</f>
      </c>
      <c r="AB73" s="13">
        <f>H73*J73/100</f>
      </c>
      <c r="AC73" s="15">
        <f>H73*K73</f>
      </c>
      <c r="AD73" s="15">
        <f>H73*M73</f>
      </c>
      <c r="AE73" s="13">
        <f>H73*L73/100</f>
      </c>
      <c r="AF73" s="13">
        <f>AA73+AB73+AE73</f>
      </c>
      <c r="AG73" s="13">
        <f>I73+J73+L73</f>
      </c>
      <c r="AH73" s="18">
        <f>$H73*I73</f>
      </c>
      <c r="AI73" s="18">
        <f>$H73*J73</f>
      </c>
      <c r="AJ73" s="18">
        <f>$H73*K73</f>
      </c>
      <c r="AK73" s="18">
        <f>$H73*L73</f>
      </c>
      <c r="AL73" s="18">
        <f>$H73*M73</f>
      </c>
      <c r="AM73" s="14"/>
      <c r="AN73" s="14"/>
      <c r="AO73" s="14"/>
    </row>
    <row x14ac:dyDescent="0.25" r="74" customHeight="1" ht="17.25">
      <c r="A74" s="2" t="s">
        <v>223</v>
      </c>
      <c r="B74" s="2" t="s">
        <v>95</v>
      </c>
      <c r="C74" s="2" t="s">
        <v>50</v>
      </c>
      <c r="D74" s="2"/>
      <c r="E74" s="2" t="s">
        <v>52</v>
      </c>
      <c r="F74" s="2" t="s">
        <v>224</v>
      </c>
      <c r="G74" s="2" t="s">
        <v>225</v>
      </c>
      <c r="H74" s="13">
        <v>5.1579999999999995</v>
      </c>
      <c r="I74" s="13"/>
      <c r="J74" s="13">
        <v>1.8769988367584336</v>
      </c>
      <c r="K74" s="14"/>
      <c r="L74" s="13">
        <v>0.14899961225281116</v>
      </c>
      <c r="M74" s="13"/>
      <c r="N74" s="15"/>
      <c r="O74" s="16"/>
      <c r="P74" s="13"/>
      <c r="Q74" s="13"/>
      <c r="R74" s="17"/>
      <c r="S74" s="13"/>
      <c r="T74" s="17"/>
      <c r="U74" s="13"/>
      <c r="V74" s="16"/>
      <c r="W74" s="13"/>
      <c r="X74" s="13"/>
      <c r="Y74" s="14"/>
      <c r="Z74" s="2"/>
      <c r="AA74" s="13">
        <f>H74*I74/100</f>
      </c>
      <c r="AB74" s="13">
        <f>H74*J74/100</f>
      </c>
      <c r="AC74" s="15">
        <f>H74*K74</f>
      </c>
      <c r="AD74" s="15">
        <f>H74*M74</f>
      </c>
      <c r="AE74" s="13">
        <f>H74*L74/100</f>
      </c>
      <c r="AF74" s="13">
        <f>AA74+AB74+AE74</f>
      </c>
      <c r="AG74" s="13">
        <f>I74+J74+L74</f>
      </c>
      <c r="AH74" s="18">
        <f>$H74*I74</f>
      </c>
      <c r="AI74" s="18">
        <f>$H74*J74</f>
      </c>
      <c r="AJ74" s="18">
        <f>$H74*K74</f>
      </c>
      <c r="AK74" s="18">
        <f>$H74*L74</f>
      </c>
      <c r="AL74" s="18">
        <f>$H74*M74</f>
      </c>
      <c r="AM74" s="14"/>
      <c r="AN74" s="14"/>
      <c r="AO74" s="14"/>
    </row>
    <row x14ac:dyDescent="0.25" r="75" customHeight="1" ht="17.25">
      <c r="A75" s="2" t="s">
        <v>226</v>
      </c>
      <c r="B75" s="2" t="s">
        <v>95</v>
      </c>
      <c r="C75" s="2" t="s">
        <v>40</v>
      </c>
      <c r="D75" s="2" t="s">
        <v>64</v>
      </c>
      <c r="E75" s="2" t="s">
        <v>52</v>
      </c>
      <c r="F75" s="2" t="s">
        <v>65</v>
      </c>
      <c r="G75" s="2" t="s">
        <v>227</v>
      </c>
      <c r="H75" s="13">
        <v>14.27</v>
      </c>
      <c r="I75" s="15">
        <v>5.727512263489839</v>
      </c>
      <c r="J75" s="15">
        <v>16.0697967764541</v>
      </c>
      <c r="K75" s="17">
        <v>97.4989488437281</v>
      </c>
      <c r="L75" s="13"/>
      <c r="M75" s="13"/>
      <c r="N75" s="15"/>
      <c r="O75" s="16"/>
      <c r="P75" s="13"/>
      <c r="Q75" s="13"/>
      <c r="R75" s="17"/>
      <c r="S75" s="13"/>
      <c r="T75" s="17"/>
      <c r="U75" s="13"/>
      <c r="V75" s="16"/>
      <c r="W75" s="13"/>
      <c r="X75" s="13"/>
      <c r="Y75" s="14"/>
      <c r="Z75" s="2"/>
      <c r="AA75" s="13">
        <f>H75*I75/100</f>
      </c>
      <c r="AB75" s="13">
        <f>H75*J75/100</f>
      </c>
      <c r="AC75" s="15">
        <f>H75*K75</f>
      </c>
      <c r="AD75" s="15">
        <f>H75*M75</f>
      </c>
      <c r="AE75" s="13">
        <f>H75*L75/100</f>
      </c>
      <c r="AF75" s="13">
        <f>AA75+AB75+AE75</f>
      </c>
      <c r="AG75" s="13">
        <f>I75+J75+L75</f>
      </c>
      <c r="AH75" s="18">
        <f>$H75*I75</f>
      </c>
      <c r="AI75" s="18">
        <f>$H75*J75</f>
      </c>
      <c r="AJ75" s="18">
        <f>$H75*K75</f>
      </c>
      <c r="AK75" s="18">
        <f>$H75*L75</f>
      </c>
      <c r="AL75" s="18">
        <f>$H75*M75</f>
      </c>
      <c r="AM75" s="14"/>
      <c r="AN75" s="14"/>
      <c r="AO75" s="14"/>
    </row>
    <row x14ac:dyDescent="0.25" r="76" customHeight="1" ht="17.25">
      <c r="A76" s="2" t="s">
        <v>228</v>
      </c>
      <c r="B76" s="2" t="s">
        <v>95</v>
      </c>
      <c r="C76" s="2" t="s">
        <v>40</v>
      </c>
      <c r="D76" s="2" t="s">
        <v>41</v>
      </c>
      <c r="E76" s="2" t="s">
        <v>52</v>
      </c>
      <c r="F76" s="2" t="s">
        <v>229</v>
      </c>
      <c r="G76" s="2" t="s">
        <v>106</v>
      </c>
      <c r="H76" s="13">
        <v>14.99</v>
      </c>
      <c r="I76" s="13">
        <v>4.28</v>
      </c>
      <c r="J76" s="13">
        <v>4.686</v>
      </c>
      <c r="K76" s="14">
        <v>16</v>
      </c>
      <c r="L76" s="13"/>
      <c r="M76" s="13"/>
      <c r="N76" s="15"/>
      <c r="O76" s="16"/>
      <c r="P76" s="13"/>
      <c r="Q76" s="13"/>
      <c r="R76" s="17"/>
      <c r="S76" s="13"/>
      <c r="T76" s="17"/>
      <c r="U76" s="13"/>
      <c r="V76" s="16"/>
      <c r="W76" s="13"/>
      <c r="X76" s="13"/>
      <c r="Y76" s="14"/>
      <c r="Z76" s="2"/>
      <c r="AA76" s="13">
        <f>H76*I76/100</f>
      </c>
      <c r="AB76" s="13">
        <f>H76*J76/100</f>
      </c>
      <c r="AC76" s="15">
        <f>H76*K76</f>
      </c>
      <c r="AD76" s="15">
        <f>H76*M76</f>
      </c>
      <c r="AE76" s="13">
        <f>H76*L76/100</f>
      </c>
      <c r="AF76" s="13">
        <f>AA76+AB76+AE76</f>
      </c>
      <c r="AG76" s="13">
        <f>I76+J76+L76</f>
      </c>
      <c r="AH76" s="18">
        <f>$H76*I76</f>
      </c>
      <c r="AI76" s="18">
        <f>$H76*J76</f>
      </c>
      <c r="AJ76" s="18">
        <f>$H76*K76</f>
      </c>
      <c r="AK76" s="18">
        <f>$H76*L76</f>
      </c>
      <c r="AL76" s="18">
        <f>$H76*M76</f>
      </c>
      <c r="AM76" s="14"/>
      <c r="AN76" s="14"/>
      <c r="AO76" s="14"/>
    </row>
    <row x14ac:dyDescent="0.25" r="77" customHeight="1" ht="17.25">
      <c r="A77" s="2" t="s">
        <v>230</v>
      </c>
      <c r="B77" s="2" t="s">
        <v>95</v>
      </c>
      <c r="C77" s="2" t="s">
        <v>50</v>
      </c>
      <c r="D77" s="2"/>
      <c r="E77" s="2" t="s">
        <v>52</v>
      </c>
      <c r="F77" s="2" t="s">
        <v>231</v>
      </c>
      <c r="G77" s="2" t="s">
        <v>108</v>
      </c>
      <c r="H77" s="13">
        <v>1.8</v>
      </c>
      <c r="I77" s="13">
        <v>1.4</v>
      </c>
      <c r="J77" s="13">
        <v>5.1</v>
      </c>
      <c r="K77" s="14">
        <v>82</v>
      </c>
      <c r="L77" s="13">
        <v>0.2</v>
      </c>
      <c r="M77" s="13">
        <v>0.26</v>
      </c>
      <c r="N77" s="15"/>
      <c r="O77" s="16"/>
      <c r="P77" s="13"/>
      <c r="Q77" s="13"/>
      <c r="R77" s="17"/>
      <c r="S77" s="13"/>
      <c r="T77" s="17"/>
      <c r="U77" s="13"/>
      <c r="V77" s="16"/>
      <c r="W77" s="13"/>
      <c r="X77" s="13"/>
      <c r="Y77" s="14"/>
      <c r="Z77" s="2"/>
      <c r="AA77" s="13">
        <f>H77*I77/100</f>
      </c>
      <c r="AB77" s="13">
        <f>H77*J77/100</f>
      </c>
      <c r="AC77" s="15">
        <f>H77*K77</f>
      </c>
      <c r="AD77" s="15">
        <f>H77*M77</f>
      </c>
      <c r="AE77" s="13">
        <f>H77*L77/100</f>
      </c>
      <c r="AF77" s="13">
        <f>AA77+AB77+AE77</f>
      </c>
      <c r="AG77" s="13">
        <f>I77+J77+L77</f>
      </c>
      <c r="AH77" s="18">
        <f>$H77*I77</f>
      </c>
      <c r="AI77" s="18">
        <f>$H77*J77</f>
      </c>
      <c r="AJ77" s="18">
        <f>$H77*K77</f>
      </c>
      <c r="AK77" s="18">
        <f>$H77*L77</f>
      </c>
      <c r="AL77" s="18">
        <f>$H77*M77</f>
      </c>
      <c r="AM77" s="14"/>
      <c r="AN77" s="14"/>
      <c r="AO77" s="14"/>
    </row>
    <row x14ac:dyDescent="0.25" r="78" customHeight="1" ht="17.25">
      <c r="A78" s="2" t="s">
        <v>232</v>
      </c>
      <c r="B78" s="2" t="s">
        <v>95</v>
      </c>
      <c r="C78" s="2" t="s">
        <v>50</v>
      </c>
      <c r="D78" s="2"/>
      <c r="E78" s="2" t="s">
        <v>52</v>
      </c>
      <c r="F78" s="2" t="s">
        <v>233</v>
      </c>
      <c r="G78" s="2" t="s">
        <v>108</v>
      </c>
      <c r="H78" s="13">
        <v>6.619999999999999</v>
      </c>
      <c r="I78" s="15">
        <v>1.420392749244713</v>
      </c>
      <c r="J78" s="15">
        <v>2.4244712990936557</v>
      </c>
      <c r="K78" s="17">
        <v>69.14199395770393</v>
      </c>
      <c r="L78" s="15">
        <v>0.1959214501510574</v>
      </c>
      <c r="M78" s="15">
        <v>1.4836858006042297</v>
      </c>
      <c r="N78" s="15"/>
      <c r="O78" s="16"/>
      <c r="P78" s="13"/>
      <c r="Q78" s="13"/>
      <c r="R78" s="17"/>
      <c r="S78" s="13"/>
      <c r="T78" s="17"/>
      <c r="U78" s="13"/>
      <c r="V78" s="16"/>
      <c r="W78" s="13"/>
      <c r="X78" s="13"/>
      <c r="Y78" s="14"/>
      <c r="Z78" s="2"/>
      <c r="AA78" s="13">
        <f>H78*I78/100</f>
      </c>
      <c r="AB78" s="13">
        <f>H78*J78/100</f>
      </c>
      <c r="AC78" s="15">
        <f>H78*K78</f>
      </c>
      <c r="AD78" s="15">
        <f>H78*M78</f>
      </c>
      <c r="AE78" s="13">
        <f>H78*L78/100</f>
      </c>
      <c r="AF78" s="13">
        <f>AA78+AB78+AE78</f>
      </c>
      <c r="AG78" s="13">
        <f>I78+J78+L78</f>
      </c>
      <c r="AH78" s="18">
        <f>$H78*I78</f>
      </c>
      <c r="AI78" s="18">
        <f>$H78*J78</f>
      </c>
      <c r="AJ78" s="18">
        <f>$H78*K78</f>
      </c>
      <c r="AK78" s="18">
        <f>$H78*L78</f>
      </c>
      <c r="AL78" s="18">
        <f>$H78*M78</f>
      </c>
      <c r="AM78" s="14"/>
      <c r="AN78" s="14"/>
      <c r="AO78" s="14"/>
    </row>
    <row x14ac:dyDescent="0.25" r="79" customHeight="1" ht="17.25">
      <c r="A79" s="2" t="s">
        <v>234</v>
      </c>
      <c r="B79" s="2" t="s">
        <v>95</v>
      </c>
      <c r="C79" s="2" t="s">
        <v>50</v>
      </c>
      <c r="D79" s="2"/>
      <c r="E79" s="2" t="s">
        <v>52</v>
      </c>
      <c r="F79" s="2" t="s">
        <v>215</v>
      </c>
      <c r="G79" s="2" t="s">
        <v>108</v>
      </c>
      <c r="H79" s="13">
        <v>0.657</v>
      </c>
      <c r="I79" s="13">
        <v>0.3</v>
      </c>
      <c r="J79" s="13">
        <v>3.7</v>
      </c>
      <c r="K79" s="13">
        <v>35.9</v>
      </c>
      <c r="L79" s="13">
        <v>1.8</v>
      </c>
      <c r="M79" s="13">
        <v>0.8</v>
      </c>
      <c r="N79" s="15"/>
      <c r="O79" s="16"/>
      <c r="P79" s="13"/>
      <c r="Q79" s="13"/>
      <c r="R79" s="17"/>
      <c r="S79" s="13"/>
      <c r="T79" s="17"/>
      <c r="U79" s="13"/>
      <c r="V79" s="16"/>
      <c r="W79" s="13"/>
      <c r="X79" s="13"/>
      <c r="Y79" s="14"/>
      <c r="Z79" s="2"/>
      <c r="AA79" s="13">
        <f>H79*I79/100</f>
      </c>
      <c r="AB79" s="13">
        <f>H79*J79/100</f>
      </c>
      <c r="AC79" s="15">
        <f>H79*K79</f>
      </c>
      <c r="AD79" s="15">
        <f>H79*M79</f>
      </c>
      <c r="AE79" s="13">
        <f>H79*L79/100</f>
      </c>
      <c r="AF79" s="13">
        <f>AA79+AB79+AE79</f>
      </c>
      <c r="AG79" s="13">
        <f>I79+J79+L79</f>
      </c>
      <c r="AH79" s="18">
        <f>$H79*I79</f>
      </c>
      <c r="AI79" s="18">
        <f>$H79*J79</f>
      </c>
      <c r="AJ79" s="18">
        <f>$H79*K79</f>
      </c>
      <c r="AK79" s="18">
        <f>$H79*L79</f>
      </c>
      <c r="AL79" s="18">
        <f>$H79*M79</f>
      </c>
      <c r="AM79" s="14"/>
      <c r="AN79" s="14"/>
      <c r="AO79" s="14"/>
    </row>
    <row x14ac:dyDescent="0.25" r="80" customHeight="1" ht="17.25">
      <c r="A80" s="2" t="s">
        <v>235</v>
      </c>
      <c r="B80" s="2" t="s">
        <v>95</v>
      </c>
      <c r="C80" s="2" t="s">
        <v>40</v>
      </c>
      <c r="D80" s="2" t="s">
        <v>236</v>
      </c>
      <c r="E80" s="2" t="s">
        <v>52</v>
      </c>
      <c r="F80" s="2" t="s">
        <v>237</v>
      </c>
      <c r="G80" s="2" t="s">
        <v>108</v>
      </c>
      <c r="H80" s="13">
        <v>51.1</v>
      </c>
      <c r="I80" s="15">
        <v>4.314677103718198</v>
      </c>
      <c r="J80" s="13"/>
      <c r="K80" s="14"/>
      <c r="L80" s="13"/>
      <c r="M80" s="13"/>
      <c r="N80" s="15"/>
      <c r="O80" s="16"/>
      <c r="P80" s="13"/>
      <c r="Q80" s="13"/>
      <c r="R80" s="17"/>
      <c r="S80" s="13"/>
      <c r="T80" s="17"/>
      <c r="U80" s="13"/>
      <c r="V80" s="16"/>
      <c r="W80" s="13"/>
      <c r="X80" s="13"/>
      <c r="Y80" s="14"/>
      <c r="Z80" s="2"/>
      <c r="AA80" s="13">
        <f>H80*I80/100</f>
      </c>
      <c r="AB80" s="13">
        <f>H80*J80/100</f>
      </c>
      <c r="AC80" s="15">
        <f>H80*K80</f>
      </c>
      <c r="AD80" s="15">
        <f>H80*M80</f>
      </c>
      <c r="AE80" s="13">
        <f>H80*L80/100</f>
      </c>
      <c r="AF80" s="13">
        <f>AA80+AB80+AE80</f>
      </c>
      <c r="AG80" s="13">
        <f>I80+J80+L80</f>
      </c>
      <c r="AH80" s="18">
        <f>$H80*I80</f>
      </c>
      <c r="AI80" s="18">
        <f>$H80*J80</f>
      </c>
      <c r="AJ80" s="18">
        <f>$H80*K80</f>
      </c>
      <c r="AK80" s="18">
        <f>$H80*L80</f>
      </c>
      <c r="AL80" s="18">
        <f>$H80*M80</f>
      </c>
      <c r="AM80" s="14"/>
      <c r="AN80" s="14"/>
      <c r="AO80" s="14"/>
    </row>
    <row x14ac:dyDescent="0.25" r="81" customHeight="1" ht="17.25">
      <c r="A81" s="2" t="s">
        <v>238</v>
      </c>
      <c r="B81" s="2" t="s">
        <v>95</v>
      </c>
      <c r="C81" s="2" t="s">
        <v>50</v>
      </c>
      <c r="D81" s="2"/>
      <c r="E81" s="2" t="s">
        <v>52</v>
      </c>
      <c r="F81" s="2" t="s">
        <v>239</v>
      </c>
      <c r="G81" s="2" t="s">
        <v>108</v>
      </c>
      <c r="H81" s="16">
        <v>1.354</v>
      </c>
      <c r="I81" s="13"/>
      <c r="J81" s="13">
        <v>6.04</v>
      </c>
      <c r="K81" s="13">
        <v>3.4</v>
      </c>
      <c r="L81" s="13">
        <v>0.25</v>
      </c>
      <c r="M81" s="13">
        <v>0.25</v>
      </c>
      <c r="N81" s="15"/>
      <c r="O81" s="16"/>
      <c r="P81" s="13"/>
      <c r="Q81" s="13"/>
      <c r="R81" s="17"/>
      <c r="S81" s="13"/>
      <c r="T81" s="17"/>
      <c r="U81" s="13"/>
      <c r="V81" s="16"/>
      <c r="W81" s="13"/>
      <c r="X81" s="13"/>
      <c r="Y81" s="14"/>
      <c r="Z81" s="2"/>
      <c r="AA81" s="13">
        <f>H81*I81/100</f>
      </c>
      <c r="AB81" s="13">
        <f>H81*J81/100</f>
      </c>
      <c r="AC81" s="15">
        <f>H81*K81</f>
      </c>
      <c r="AD81" s="15">
        <f>H81*M81</f>
      </c>
      <c r="AE81" s="13">
        <f>H81*L81/100</f>
      </c>
      <c r="AF81" s="13">
        <f>AA81+AB81+AE81</f>
      </c>
      <c r="AG81" s="13">
        <f>I81+J81+L81</f>
      </c>
      <c r="AH81" s="18">
        <f>$H81*I81</f>
      </c>
      <c r="AI81" s="18">
        <f>$H81*J81</f>
      </c>
      <c r="AJ81" s="18">
        <f>$H81*K81</f>
      </c>
      <c r="AK81" s="18">
        <f>$H81*L81</f>
      </c>
      <c r="AL81" s="18">
        <f>$H81*M81</f>
      </c>
      <c r="AM81" s="14"/>
      <c r="AN81" s="14"/>
      <c r="AO81" s="14"/>
    </row>
    <row x14ac:dyDescent="0.25" r="82" customHeight="1" ht="17.25">
      <c r="A82" s="2" t="s">
        <v>240</v>
      </c>
      <c r="B82" s="2" t="s">
        <v>95</v>
      </c>
      <c r="C82" s="2" t="s">
        <v>40</v>
      </c>
      <c r="D82" s="2" t="s">
        <v>64</v>
      </c>
      <c r="E82" s="12" t="s">
        <v>42</v>
      </c>
      <c r="F82" s="2" t="s">
        <v>43</v>
      </c>
      <c r="G82" s="2" t="s">
        <v>241</v>
      </c>
      <c r="H82" s="13">
        <v>1.8</v>
      </c>
      <c r="I82" s="13"/>
      <c r="J82" s="13">
        <v>4.4</v>
      </c>
      <c r="K82" s="14"/>
      <c r="L82" s="13"/>
      <c r="M82" s="13"/>
      <c r="N82" s="15"/>
      <c r="O82" s="16"/>
      <c r="P82" s="13"/>
      <c r="Q82" s="13"/>
      <c r="R82" s="17"/>
      <c r="S82" s="13"/>
      <c r="T82" s="17"/>
      <c r="U82" s="13"/>
      <c r="V82" s="16"/>
      <c r="W82" s="13"/>
      <c r="X82" s="13"/>
      <c r="Y82" s="14"/>
      <c r="Z82" s="2"/>
      <c r="AA82" s="13">
        <f>H82*I82/100</f>
      </c>
      <c r="AB82" s="13">
        <f>H82*J82/100</f>
      </c>
      <c r="AC82" s="15">
        <f>H82*K82</f>
      </c>
      <c r="AD82" s="15">
        <f>H82*M82</f>
      </c>
      <c r="AE82" s="13">
        <f>H82*L82/100</f>
      </c>
      <c r="AF82" s="13">
        <f>AA82+AB82+AE82</f>
      </c>
      <c r="AG82" s="13">
        <f>I82+J82+L82</f>
      </c>
      <c r="AH82" s="18">
        <f>$H82*I82</f>
      </c>
      <c r="AI82" s="18">
        <f>$H82*J82</f>
      </c>
      <c r="AJ82" s="18">
        <f>$H82*K82</f>
      </c>
      <c r="AK82" s="18">
        <f>$H82*L82</f>
      </c>
      <c r="AL82" s="18">
        <f>$H82*M82</f>
      </c>
      <c r="AM82" s="14"/>
      <c r="AN82" s="14"/>
      <c r="AO82" s="14"/>
    </row>
    <row x14ac:dyDescent="0.25" r="83" customHeight="1" ht="17.25">
      <c r="A83" s="2" t="s">
        <v>242</v>
      </c>
      <c r="B83" s="2" t="s">
        <v>95</v>
      </c>
      <c r="C83" s="2" t="s">
        <v>50</v>
      </c>
      <c r="D83" s="2"/>
      <c r="E83" s="2" t="s">
        <v>52</v>
      </c>
      <c r="F83" s="2" t="s">
        <v>99</v>
      </c>
      <c r="G83" s="2" t="s">
        <v>100</v>
      </c>
      <c r="H83" s="13">
        <v>0.574</v>
      </c>
      <c r="I83" s="13">
        <v>5.1</v>
      </c>
      <c r="J83" s="13">
        <v>1.9</v>
      </c>
      <c r="K83" s="15">
        <v>60</v>
      </c>
      <c r="L83" s="13"/>
      <c r="M83" s="13"/>
      <c r="N83" s="15"/>
      <c r="O83" s="16"/>
      <c r="P83" s="13"/>
      <c r="Q83" s="13"/>
      <c r="R83" s="17"/>
      <c r="S83" s="13"/>
      <c r="T83" s="17"/>
      <c r="U83" s="13"/>
      <c r="V83" s="16"/>
      <c r="W83" s="13"/>
      <c r="X83" s="13"/>
      <c r="Y83" s="14"/>
      <c r="Z83" s="2"/>
      <c r="AA83" s="13">
        <f>H83*I83/100</f>
      </c>
      <c r="AB83" s="13">
        <f>H83*J83/100</f>
      </c>
      <c r="AC83" s="15">
        <f>H83*K83</f>
      </c>
      <c r="AD83" s="15">
        <f>H83*M83</f>
      </c>
      <c r="AE83" s="13">
        <f>H83*L83/100</f>
      </c>
      <c r="AF83" s="13">
        <f>AA83+AB83+AE83</f>
      </c>
      <c r="AG83" s="13">
        <f>I83+J83+L83</f>
      </c>
      <c r="AH83" s="18">
        <f>$H83*I83</f>
      </c>
      <c r="AI83" s="18">
        <f>$H83*J83</f>
      </c>
      <c r="AJ83" s="18">
        <f>$H83*K83</f>
      </c>
      <c r="AK83" s="18">
        <f>$H83*L83</f>
      </c>
      <c r="AL83" s="18">
        <f>$H83*M83</f>
      </c>
      <c r="AM83" s="14"/>
      <c r="AN83" s="14"/>
      <c r="AO83" s="14"/>
    </row>
    <row x14ac:dyDescent="0.25" r="84" customHeight="1" ht="17.25">
      <c r="A84" s="2" t="s">
        <v>243</v>
      </c>
      <c r="B84" s="2" t="s">
        <v>95</v>
      </c>
      <c r="C84" s="2" t="s">
        <v>159</v>
      </c>
      <c r="D84" s="2"/>
      <c r="E84" s="2" t="s">
        <v>52</v>
      </c>
      <c r="F84" s="2" t="s">
        <v>244</v>
      </c>
      <c r="G84" s="2" t="s">
        <v>245</v>
      </c>
      <c r="H84" s="13">
        <v>4.9</v>
      </c>
      <c r="I84" s="13"/>
      <c r="J84" s="15">
        <v>0.5967346938775511</v>
      </c>
      <c r="K84" s="15">
        <v>8.26734693877551</v>
      </c>
      <c r="L84" s="15">
        <v>0.3448979591836735</v>
      </c>
      <c r="M84" s="15">
        <v>0.5714285714285714</v>
      </c>
      <c r="N84" s="15"/>
      <c r="O84" s="16"/>
      <c r="P84" s="13"/>
      <c r="Q84" s="13"/>
      <c r="R84" s="17"/>
      <c r="S84" s="13"/>
      <c r="T84" s="13">
        <v>25.4</v>
      </c>
      <c r="U84" s="13"/>
      <c r="V84" s="16"/>
      <c r="W84" s="13"/>
      <c r="X84" s="13"/>
      <c r="Y84" s="14"/>
      <c r="Z84" s="2"/>
      <c r="AA84" s="13">
        <f>H84*I84/100</f>
      </c>
      <c r="AB84" s="13">
        <f>H84*J84/100</f>
      </c>
      <c r="AC84" s="15">
        <f>H84*K84</f>
      </c>
      <c r="AD84" s="15">
        <f>H84*M84</f>
      </c>
      <c r="AE84" s="13">
        <f>H84*L84/100</f>
      </c>
      <c r="AF84" s="13">
        <f>AA84+AB84+AE84</f>
      </c>
      <c r="AG84" s="13">
        <f>I84+J84+L84</f>
      </c>
      <c r="AH84" s="18">
        <f>$H84*I84</f>
      </c>
      <c r="AI84" s="18">
        <f>$H84*J84</f>
      </c>
      <c r="AJ84" s="18">
        <f>$H84*K84</f>
      </c>
      <c r="AK84" s="18">
        <f>$H84*L84</f>
      </c>
      <c r="AL84" s="18">
        <f>$H84*M84</f>
      </c>
      <c r="AM84" s="14"/>
      <c r="AN84" s="14"/>
      <c r="AO84" s="14"/>
    </row>
    <row x14ac:dyDescent="0.25" r="85" customHeight="1" ht="17.25">
      <c r="A85" s="2" t="s">
        <v>246</v>
      </c>
      <c r="B85" s="2" t="s">
        <v>95</v>
      </c>
      <c r="C85" s="2" t="s">
        <v>40</v>
      </c>
      <c r="D85" s="2" t="s">
        <v>64</v>
      </c>
      <c r="E85" s="2" t="s">
        <v>52</v>
      </c>
      <c r="F85" s="2" t="s">
        <v>65</v>
      </c>
      <c r="G85" s="2" t="s">
        <v>227</v>
      </c>
      <c r="H85" s="14">
        <v>194</v>
      </c>
      <c r="I85" s="15">
        <v>4.049536082474227</v>
      </c>
      <c r="J85" s="15">
        <v>9.206185567010309</v>
      </c>
      <c r="K85" s="15">
        <v>40.9680412371134</v>
      </c>
      <c r="L85" s="13"/>
      <c r="M85" s="13"/>
      <c r="N85" s="15"/>
      <c r="O85" s="16"/>
      <c r="P85" s="13"/>
      <c r="Q85" s="13"/>
      <c r="R85" s="17"/>
      <c r="S85" s="13"/>
      <c r="T85" s="17"/>
      <c r="U85" s="13"/>
      <c r="V85" s="16"/>
      <c r="W85" s="13"/>
      <c r="X85" s="13"/>
      <c r="Y85" s="14"/>
      <c r="Z85" s="2"/>
      <c r="AA85" s="13">
        <f>H85*I85/100</f>
      </c>
      <c r="AB85" s="13">
        <f>H85*J85/100</f>
      </c>
      <c r="AC85" s="15">
        <f>H85*K85</f>
      </c>
      <c r="AD85" s="15">
        <f>H85*M85</f>
      </c>
      <c r="AE85" s="13">
        <f>H85*L85/100</f>
      </c>
      <c r="AF85" s="13">
        <f>AA85+AB85+AE85</f>
      </c>
      <c r="AG85" s="13">
        <f>I85+J85+L85</f>
      </c>
      <c r="AH85" s="18">
        <f>$H85*I85</f>
      </c>
      <c r="AI85" s="18">
        <f>$H85*J85</f>
      </c>
      <c r="AJ85" s="18">
        <f>$H85*K85</f>
      </c>
      <c r="AK85" s="18">
        <f>$H85*L85</f>
      </c>
      <c r="AL85" s="18">
        <f>$H85*M85</f>
      </c>
      <c r="AM85" s="14"/>
      <c r="AN85" s="14"/>
      <c r="AO85" s="14"/>
    </row>
    <row x14ac:dyDescent="0.25" r="86" customHeight="1" ht="17.25">
      <c r="A86" s="2" t="s">
        <v>247</v>
      </c>
      <c r="B86" s="2" t="s">
        <v>95</v>
      </c>
      <c r="C86" s="2" t="s">
        <v>40</v>
      </c>
      <c r="D86" s="2" t="s">
        <v>64</v>
      </c>
      <c r="E86" s="2" t="s">
        <v>52</v>
      </c>
      <c r="F86" s="2" t="s">
        <v>57</v>
      </c>
      <c r="G86" s="2" t="s">
        <v>108</v>
      </c>
      <c r="H86" s="13">
        <v>7.7</v>
      </c>
      <c r="I86" s="13">
        <v>2.6</v>
      </c>
      <c r="J86" s="13">
        <v>3.1</v>
      </c>
      <c r="K86" s="14">
        <v>27</v>
      </c>
      <c r="L86" s="13"/>
      <c r="M86" s="13"/>
      <c r="N86" s="15"/>
      <c r="O86" s="16"/>
      <c r="P86" s="13"/>
      <c r="Q86" s="13"/>
      <c r="R86" s="17"/>
      <c r="S86" s="13"/>
      <c r="T86" s="17"/>
      <c r="U86" s="13"/>
      <c r="V86" s="16"/>
      <c r="W86" s="13"/>
      <c r="X86" s="13"/>
      <c r="Y86" s="14"/>
      <c r="Z86" s="2"/>
      <c r="AA86" s="13">
        <f>H86*I86/100</f>
      </c>
      <c r="AB86" s="13">
        <f>H86*J86/100</f>
      </c>
      <c r="AC86" s="15">
        <f>H86*K86</f>
      </c>
      <c r="AD86" s="15">
        <f>H86*M86</f>
      </c>
      <c r="AE86" s="13">
        <f>H86*L86/100</f>
      </c>
      <c r="AF86" s="13">
        <f>AA86+AB86+AE86</f>
      </c>
      <c r="AG86" s="13">
        <f>I86+J86+L86</f>
      </c>
      <c r="AH86" s="18">
        <f>$H86*I86</f>
      </c>
      <c r="AI86" s="18">
        <f>$H86*J86</f>
      </c>
      <c r="AJ86" s="18">
        <f>$H86*K86</f>
      </c>
      <c r="AK86" s="18">
        <f>$H86*L86</f>
      </c>
      <c r="AL86" s="18">
        <f>$H86*M86</f>
      </c>
      <c r="AM86" s="14"/>
      <c r="AN86" s="14"/>
      <c r="AO86" s="14"/>
    </row>
    <row x14ac:dyDescent="0.25" r="87" customHeight="1" ht="17.25">
      <c r="A87" s="2" t="s">
        <v>248</v>
      </c>
      <c r="B87" s="2" t="s">
        <v>95</v>
      </c>
      <c r="C87" s="2" t="s">
        <v>249</v>
      </c>
      <c r="D87" s="2" t="s">
        <v>250</v>
      </c>
      <c r="E87" s="2" t="s">
        <v>52</v>
      </c>
      <c r="F87" s="2" t="s">
        <v>251</v>
      </c>
      <c r="G87" s="2" t="s">
        <v>252</v>
      </c>
      <c r="H87" s="13">
        <f>6.5+0.2+0.015</f>
      </c>
      <c r="I87" s="13">
        <f>(0.02*6.5+0.02*0.2+0.01*0.015)/$H87</f>
      </c>
      <c r="J87" s="13">
        <f>(0.14*6.5+0.24*0.2+0*0.015)/$H87</f>
      </c>
      <c r="K87" s="15">
        <f>(8.3*6.5+8.2*0.2+25*0.015)/$H87</f>
      </c>
      <c r="L87" s="13">
        <f>(0.33*6.5+0.44*0.2+2.29*0.015)/$H87</f>
      </c>
      <c r="M87" s="13">
        <f>(0.08*6.5+0.13*0.2+0.63*0.015)/$H87</f>
      </c>
      <c r="N87" s="15"/>
      <c r="O87" s="16"/>
      <c r="P87" s="22">
        <f>(0.0081*6.5+0.0091*0.2+0.0021*0.015)/$H87</f>
      </c>
      <c r="Q87" s="13"/>
      <c r="R87" s="17"/>
      <c r="S87" s="13">
        <f>(1.34*6.5+0.85*0.2+6.49*0.015)/$H87</f>
      </c>
      <c r="T87" s="17"/>
      <c r="U87" s="13"/>
      <c r="V87" s="16"/>
      <c r="W87" s="13"/>
      <c r="X87" s="13"/>
      <c r="Y87" s="15">
        <f>(23.3*6.5+15.1*0.2+83.9*0.015)/$H87</f>
      </c>
      <c r="Z87" s="2" t="s">
        <v>253</v>
      </c>
      <c r="AA87" s="13">
        <f>H87*I87/100</f>
      </c>
      <c r="AB87" s="13">
        <f>H87*J87/100</f>
      </c>
      <c r="AC87" s="15">
        <f>H87*K87</f>
      </c>
      <c r="AD87" s="15">
        <f>H87*M87</f>
      </c>
      <c r="AE87" s="13">
        <f>H87*L87/100</f>
      </c>
      <c r="AF87" s="13">
        <f>AA87+AB87+AE87</f>
      </c>
      <c r="AG87" s="13">
        <f>I87+J87+L87</f>
      </c>
      <c r="AH87" s="18">
        <f>$H87*I87</f>
      </c>
      <c r="AI87" s="18">
        <f>$H87*J87</f>
      </c>
      <c r="AJ87" s="18">
        <f>$H87*K87</f>
      </c>
      <c r="AK87" s="18">
        <f>$H87*L87</f>
      </c>
      <c r="AL87" s="18">
        <f>$H87*M87</f>
      </c>
      <c r="AM87" s="14"/>
      <c r="AN87" s="14"/>
      <c r="AO87" s="14"/>
    </row>
    <row x14ac:dyDescent="0.25" r="88" customHeight="1" ht="17.25">
      <c r="A88" s="2" t="s">
        <v>254</v>
      </c>
      <c r="B88" s="2" t="s">
        <v>95</v>
      </c>
      <c r="C88" s="2" t="s">
        <v>50</v>
      </c>
      <c r="D88" s="2"/>
      <c r="E88" s="2" t="s">
        <v>52</v>
      </c>
      <c r="F88" s="2" t="s">
        <v>215</v>
      </c>
      <c r="G88" s="2" t="s">
        <v>108</v>
      </c>
      <c r="H88" s="13">
        <v>4.607</v>
      </c>
      <c r="I88" s="13">
        <v>0.5</v>
      </c>
      <c r="J88" s="13">
        <v>1.3</v>
      </c>
      <c r="K88" s="13">
        <v>24.1</v>
      </c>
      <c r="L88" s="13">
        <v>0.9</v>
      </c>
      <c r="M88" s="13">
        <v>0.1</v>
      </c>
      <c r="N88" s="15"/>
      <c r="O88" s="16"/>
      <c r="P88" s="13"/>
      <c r="Q88" s="13"/>
      <c r="R88" s="17"/>
      <c r="S88" s="13"/>
      <c r="T88" s="17"/>
      <c r="U88" s="13"/>
      <c r="V88" s="16"/>
      <c r="W88" s="13"/>
      <c r="X88" s="13"/>
      <c r="Y88" s="14"/>
      <c r="Z88" s="2"/>
      <c r="AA88" s="13">
        <f>H88*I88/100</f>
      </c>
      <c r="AB88" s="13">
        <f>H88*J88/100</f>
      </c>
      <c r="AC88" s="15">
        <f>H88*K88</f>
      </c>
      <c r="AD88" s="15">
        <f>H88*M88</f>
      </c>
      <c r="AE88" s="13">
        <f>H88*L88/100</f>
      </c>
      <c r="AF88" s="13">
        <f>AA88+AB88+AE88</f>
      </c>
      <c r="AG88" s="13">
        <f>I88+J88+L88</f>
      </c>
      <c r="AH88" s="18">
        <f>$H88*I88</f>
      </c>
      <c r="AI88" s="18">
        <f>$H88*J88</f>
      </c>
      <c r="AJ88" s="18">
        <f>$H88*K88</f>
      </c>
      <c r="AK88" s="18">
        <f>$H88*L88</f>
      </c>
      <c r="AL88" s="18">
        <f>$H88*M88</f>
      </c>
      <c r="AM88" s="14"/>
      <c r="AN88" s="14"/>
      <c r="AO88" s="14"/>
    </row>
    <row x14ac:dyDescent="0.25" r="89" customHeight="1" ht="17.25">
      <c r="A89" s="2" t="s">
        <v>255</v>
      </c>
      <c r="B89" s="2" t="s">
        <v>95</v>
      </c>
      <c r="C89" s="2" t="s">
        <v>159</v>
      </c>
      <c r="D89" s="2"/>
      <c r="E89" s="2" t="s">
        <v>52</v>
      </c>
      <c r="F89" s="2" t="s">
        <v>206</v>
      </c>
      <c r="G89" s="2" t="s">
        <v>256</v>
      </c>
      <c r="H89" s="13">
        <v>1.93</v>
      </c>
      <c r="I89" s="13">
        <v>0.3</v>
      </c>
      <c r="J89" s="13">
        <v>5.4</v>
      </c>
      <c r="K89" s="14">
        <v>21</v>
      </c>
      <c r="L89" s="13">
        <v>0.6</v>
      </c>
      <c r="M89" s="13">
        <v>0.1</v>
      </c>
      <c r="N89" s="15"/>
      <c r="O89" s="16"/>
      <c r="P89" s="13"/>
      <c r="Q89" s="13"/>
      <c r="R89" s="17"/>
      <c r="S89" s="13"/>
      <c r="T89" s="17"/>
      <c r="U89" s="13"/>
      <c r="V89" s="16"/>
      <c r="W89" s="13"/>
      <c r="X89" s="13"/>
      <c r="Y89" s="14"/>
      <c r="Z89" s="2"/>
      <c r="AA89" s="13">
        <f>H89*I89/100</f>
      </c>
      <c r="AB89" s="13">
        <f>H89*J89/100</f>
      </c>
      <c r="AC89" s="15">
        <f>H89*K89</f>
      </c>
      <c r="AD89" s="15">
        <f>H89*M89</f>
      </c>
      <c r="AE89" s="13">
        <f>H89*L89/100</f>
      </c>
      <c r="AF89" s="13">
        <f>AA89+AB89+AE89</f>
      </c>
      <c r="AG89" s="13">
        <f>I89+J89+L89</f>
      </c>
      <c r="AH89" s="18">
        <f>$H89*I89</f>
      </c>
      <c r="AI89" s="18">
        <f>$H89*J89</f>
      </c>
      <c r="AJ89" s="18">
        <f>$H89*K89</f>
      </c>
      <c r="AK89" s="18">
        <f>$H89*L89</f>
      </c>
      <c r="AL89" s="18">
        <f>$H89*M89</f>
      </c>
      <c r="AM89" s="14"/>
      <c r="AN89" s="14"/>
      <c r="AO89" s="14"/>
    </row>
    <row x14ac:dyDescent="0.25" r="90" customHeight="1" ht="17.25">
      <c r="A90" s="2" t="s">
        <v>257</v>
      </c>
      <c r="B90" s="2" t="s">
        <v>95</v>
      </c>
      <c r="C90" s="2" t="s">
        <v>68</v>
      </c>
      <c r="D90" s="2" t="s">
        <v>258</v>
      </c>
      <c r="E90" s="2" t="s">
        <v>52</v>
      </c>
      <c r="F90" s="2" t="s">
        <v>259</v>
      </c>
      <c r="G90" s="2" t="s">
        <v>106</v>
      </c>
      <c r="H90" s="16">
        <v>0.124</v>
      </c>
      <c r="I90" s="13">
        <v>0.5387096774193548</v>
      </c>
      <c r="J90" s="15">
        <v>2.6612903225806455</v>
      </c>
      <c r="K90" s="17">
        <v>25.258064516129032</v>
      </c>
      <c r="L90" s="13">
        <v>0.31048387096774194</v>
      </c>
      <c r="M90" s="13">
        <v>0.19564516129032258</v>
      </c>
      <c r="N90" s="15"/>
      <c r="O90" s="16"/>
      <c r="P90" s="13"/>
      <c r="Q90" s="13"/>
      <c r="R90" s="17"/>
      <c r="S90" s="13"/>
      <c r="T90" s="17"/>
      <c r="U90" s="13"/>
      <c r="V90" s="16"/>
      <c r="W90" s="13"/>
      <c r="X90" s="13"/>
      <c r="Y90" s="14"/>
      <c r="Z90" s="2"/>
      <c r="AA90" s="13">
        <f>H90*I90/100</f>
      </c>
      <c r="AB90" s="13">
        <f>H90*J90/100</f>
      </c>
      <c r="AC90" s="15">
        <f>H90*K90</f>
      </c>
      <c r="AD90" s="15">
        <f>H90*M90</f>
      </c>
      <c r="AE90" s="13">
        <f>H90*L90/100</f>
      </c>
      <c r="AF90" s="13">
        <f>AA90+AB90+AE90</f>
      </c>
      <c r="AG90" s="13">
        <f>I90+J90+L90</f>
      </c>
      <c r="AH90" s="18">
        <f>$H90*I90</f>
      </c>
      <c r="AI90" s="18">
        <f>$H90*J90</f>
      </c>
      <c r="AJ90" s="18">
        <f>$H90*K90</f>
      </c>
      <c r="AK90" s="18">
        <f>$H90*L90</f>
      </c>
      <c r="AL90" s="18">
        <f>$H90*M90</f>
      </c>
      <c r="AM90" s="14"/>
      <c r="AN90" s="14"/>
      <c r="AO90" s="14"/>
    </row>
    <row x14ac:dyDescent="0.25" r="91" customHeight="1" ht="17.25">
      <c r="A91" s="2" t="s">
        <v>260</v>
      </c>
      <c r="B91" s="2" t="s">
        <v>95</v>
      </c>
      <c r="C91" s="2" t="s">
        <v>50</v>
      </c>
      <c r="D91" s="2"/>
      <c r="E91" s="2" t="s">
        <v>52</v>
      </c>
      <c r="F91" s="2" t="s">
        <v>261</v>
      </c>
      <c r="G91" s="2" t="s">
        <v>262</v>
      </c>
      <c r="H91" s="13">
        <v>1.3</v>
      </c>
      <c r="I91" s="13"/>
      <c r="J91" s="13">
        <v>0.4</v>
      </c>
      <c r="K91" s="14">
        <v>6</v>
      </c>
      <c r="L91" s="15">
        <v>2</v>
      </c>
      <c r="M91" s="13">
        <v>0.5</v>
      </c>
      <c r="N91" s="15"/>
      <c r="O91" s="16"/>
      <c r="P91" s="13"/>
      <c r="Q91" s="13"/>
      <c r="R91" s="17"/>
      <c r="S91" s="13"/>
      <c r="T91" s="17"/>
      <c r="U91" s="13"/>
      <c r="V91" s="16"/>
      <c r="W91" s="13"/>
      <c r="X91" s="13"/>
      <c r="Y91" s="14"/>
      <c r="Z91" s="2"/>
      <c r="AA91" s="13">
        <f>H91*I91/100</f>
      </c>
      <c r="AB91" s="13">
        <f>H91*J91/100</f>
      </c>
      <c r="AC91" s="15">
        <f>H91*K91</f>
      </c>
      <c r="AD91" s="15">
        <f>H91*M91</f>
      </c>
      <c r="AE91" s="13">
        <f>H91*L91/100</f>
      </c>
      <c r="AF91" s="13">
        <f>AA91+AB91+AE91</f>
      </c>
      <c r="AG91" s="13">
        <f>I91+J91+L91</f>
      </c>
      <c r="AH91" s="18">
        <f>$H91*I91</f>
      </c>
      <c r="AI91" s="18">
        <f>$H91*J91</f>
      </c>
      <c r="AJ91" s="18">
        <f>$H91*K91</f>
      </c>
      <c r="AK91" s="18">
        <f>$H91*L91</f>
      </c>
      <c r="AL91" s="18">
        <f>$H91*M91</f>
      </c>
      <c r="AM91" s="14"/>
      <c r="AN91" s="14"/>
      <c r="AO91" s="14"/>
    </row>
    <row x14ac:dyDescent="0.25" r="92" customHeight="1" ht="17.25">
      <c r="A92" s="2" t="s">
        <v>263</v>
      </c>
      <c r="B92" s="2" t="s">
        <v>95</v>
      </c>
      <c r="C92" s="2" t="s">
        <v>50</v>
      </c>
      <c r="D92" s="2"/>
      <c r="E92" s="12" t="s">
        <v>42</v>
      </c>
      <c r="F92" s="2" t="s">
        <v>146</v>
      </c>
      <c r="G92" s="2" t="s">
        <v>147</v>
      </c>
      <c r="H92" s="13">
        <v>0.65</v>
      </c>
      <c r="I92" s="15">
        <v>2</v>
      </c>
      <c r="J92" s="15">
        <v>9</v>
      </c>
      <c r="K92" s="14">
        <v>280</v>
      </c>
      <c r="L92" s="13">
        <v>0.5</v>
      </c>
      <c r="M92" s="13">
        <v>1.7</v>
      </c>
      <c r="N92" s="15"/>
      <c r="O92" s="16"/>
      <c r="P92" s="13"/>
      <c r="Q92" s="13"/>
      <c r="R92" s="17"/>
      <c r="S92" s="13"/>
      <c r="T92" s="17"/>
      <c r="U92" s="13"/>
      <c r="V92" s="16"/>
      <c r="W92" s="13"/>
      <c r="X92" s="13"/>
      <c r="Y92" s="14"/>
      <c r="Z92" s="2"/>
      <c r="AA92" s="13">
        <f>H92*I92/100</f>
      </c>
      <c r="AB92" s="13">
        <f>H92*J92/100</f>
      </c>
      <c r="AC92" s="15">
        <f>H92*K92</f>
      </c>
      <c r="AD92" s="15">
        <f>H92*M92</f>
      </c>
      <c r="AE92" s="13">
        <f>H92*L92/100</f>
      </c>
      <c r="AF92" s="13">
        <f>AA92+AB92+AE92</f>
      </c>
      <c r="AG92" s="13">
        <f>I92+J92+L92</f>
      </c>
      <c r="AH92" s="18">
        <f>$H92*I92</f>
      </c>
      <c r="AI92" s="18">
        <f>$H92*J92</f>
      </c>
      <c r="AJ92" s="18">
        <f>$H92*K92</f>
      </c>
      <c r="AK92" s="18">
        <f>$H92*L92</f>
      </c>
      <c r="AL92" s="18">
        <f>$H92*M92</f>
      </c>
      <c r="AM92" s="14"/>
      <c r="AN92" s="14"/>
      <c r="AO92" s="14"/>
    </row>
    <row x14ac:dyDescent="0.25" r="93" customHeight="1" ht="17.25">
      <c r="A93" s="2" t="s">
        <v>264</v>
      </c>
      <c r="B93" s="2" t="s">
        <v>95</v>
      </c>
      <c r="C93" s="2" t="s">
        <v>50</v>
      </c>
      <c r="D93" s="2"/>
      <c r="E93" s="2" t="s">
        <v>52</v>
      </c>
      <c r="F93" s="2" t="s">
        <v>186</v>
      </c>
      <c r="G93" s="2" t="s">
        <v>97</v>
      </c>
      <c r="H93" s="13">
        <v>6.1</v>
      </c>
      <c r="I93" s="13"/>
      <c r="J93" s="13">
        <v>0.5</v>
      </c>
      <c r="K93" s="14">
        <v>36</v>
      </c>
      <c r="L93" s="13"/>
      <c r="M93" s="13">
        <v>1.2</v>
      </c>
      <c r="N93" s="15"/>
      <c r="O93" s="16"/>
      <c r="P93" s="13"/>
      <c r="Q93" s="13"/>
      <c r="R93" s="17"/>
      <c r="S93" s="13"/>
      <c r="T93" s="17"/>
      <c r="U93" s="13"/>
      <c r="V93" s="16"/>
      <c r="W93" s="13"/>
      <c r="X93" s="13"/>
      <c r="Y93" s="14"/>
      <c r="Z93" s="2"/>
      <c r="AA93" s="13">
        <f>H93*I93/100</f>
      </c>
      <c r="AB93" s="13">
        <f>H93*J93/100</f>
      </c>
      <c r="AC93" s="15">
        <f>H93*K93</f>
      </c>
      <c r="AD93" s="15">
        <f>H93*M93</f>
      </c>
      <c r="AE93" s="13">
        <f>H93*L93/100</f>
      </c>
      <c r="AF93" s="13">
        <f>AA93+AB93+AE93</f>
      </c>
      <c r="AG93" s="13">
        <f>I93+J93+L93</f>
      </c>
      <c r="AH93" s="18">
        <f>$H93*I93</f>
      </c>
      <c r="AI93" s="18">
        <f>$H93*J93</f>
      </c>
      <c r="AJ93" s="18">
        <f>$H93*K93</f>
      </c>
      <c r="AK93" s="18">
        <f>$H93*L93</f>
      </c>
      <c r="AL93" s="18">
        <f>$H93*M93</f>
      </c>
      <c r="AM93" s="14"/>
      <c r="AN93" s="14"/>
      <c r="AO93" s="14"/>
    </row>
    <row x14ac:dyDescent="0.25" r="94" customHeight="1" ht="17.25">
      <c r="A94" s="2" t="s">
        <v>265</v>
      </c>
      <c r="B94" s="2" t="s">
        <v>95</v>
      </c>
      <c r="C94" s="2" t="s">
        <v>56</v>
      </c>
      <c r="D94" s="2" t="s">
        <v>79</v>
      </c>
      <c r="E94" s="2" t="s">
        <v>52</v>
      </c>
      <c r="F94" s="2" t="s">
        <v>266</v>
      </c>
      <c r="G94" s="2" t="s">
        <v>161</v>
      </c>
      <c r="H94" s="13">
        <v>0.607</v>
      </c>
      <c r="I94" s="13">
        <v>2.4</v>
      </c>
      <c r="J94" s="13"/>
      <c r="K94" s="14">
        <v>26</v>
      </c>
      <c r="L94" s="13"/>
      <c r="M94" s="13">
        <v>0.22</v>
      </c>
      <c r="N94" s="15"/>
      <c r="O94" s="16"/>
      <c r="P94" s="13"/>
      <c r="Q94" s="13"/>
      <c r="R94" s="17"/>
      <c r="S94" s="13"/>
      <c r="T94" s="17"/>
      <c r="U94" s="13"/>
      <c r="V94" s="16"/>
      <c r="W94" s="13"/>
      <c r="X94" s="13"/>
      <c r="Y94" s="13">
        <v>1.7</v>
      </c>
      <c r="Z94" s="2" t="s">
        <v>267</v>
      </c>
      <c r="AA94" s="13">
        <f>H94*I94/100</f>
      </c>
      <c r="AB94" s="13">
        <f>H94*J94/100</f>
      </c>
      <c r="AC94" s="15">
        <f>H94*K94</f>
      </c>
      <c r="AD94" s="15">
        <f>H94*M94</f>
      </c>
      <c r="AE94" s="13">
        <f>H94*L94/100</f>
      </c>
      <c r="AF94" s="13">
        <f>AA94+AB94+AE94</f>
      </c>
      <c r="AG94" s="13">
        <f>I94+J94+L94</f>
      </c>
      <c r="AH94" s="18">
        <f>$H94*I94</f>
      </c>
      <c r="AI94" s="18">
        <f>$H94*J94</f>
      </c>
      <c r="AJ94" s="18">
        <f>$H94*K94</f>
      </c>
      <c r="AK94" s="18">
        <f>$H94*L94</f>
      </c>
      <c r="AL94" s="18">
        <f>$H94*M94</f>
      </c>
      <c r="AM94" s="14"/>
      <c r="AN94" s="14"/>
      <c r="AO94" s="14"/>
    </row>
    <row x14ac:dyDescent="0.25" r="95" customHeight="1" ht="17.25">
      <c r="A95" s="2" t="s">
        <v>268</v>
      </c>
      <c r="B95" s="2" t="s">
        <v>95</v>
      </c>
      <c r="C95" s="2" t="s">
        <v>249</v>
      </c>
      <c r="D95" s="2"/>
      <c r="E95" s="2" t="s">
        <v>52</v>
      </c>
      <c r="F95" s="2" t="s">
        <v>251</v>
      </c>
      <c r="G95" s="2" t="s">
        <v>252</v>
      </c>
      <c r="H95" s="13">
        <f>25.3+22.9+47.2+15.4+14+19.5</f>
      </c>
      <c r="I95" s="13">
        <f>(0.09*25.3+0.12*22.9+0.01*47.2+0.03*15.4+0.04*14+0.06*19.5)/$H95</f>
      </c>
      <c r="J95" s="13">
        <f>(0.49*25.3+0.62*22.9+0.07*47.2+0.18*15.4+0.36*14+0.3*19.5)/$H95</f>
      </c>
      <c r="K95" s="15">
        <f>(6.4*25.3+7.4*22.9+3.9*47.2+6.4*15.4+7.8*14+6.6*19.5)/$H95</f>
      </c>
      <c r="L95" s="13">
        <f>(0.44*25.3+0.4*22.9+0.63*47.2+0.55*15.4+0.52*14+0.5*19.5)/$H95</f>
      </c>
      <c r="M95" s="13">
        <f>(0.1*25.3+0.11*22.9+0.07*47.2+0.11*15.4+0.13*14+0.11*19.5)/$H95</f>
      </c>
      <c r="N95" s="15"/>
      <c r="O95" s="16"/>
      <c r="P95" s="22">
        <f>(0.0072*25.3+0.0071*22.9+0.0065*47.2+0.0098*15.4+0.0082*14+0.0118*19.5)/$H95</f>
      </c>
      <c r="Q95" s="13"/>
      <c r="R95" s="17"/>
      <c r="S95" s="16">
        <f>(0.01*25.3+0.01*22.9+0*47.2+0*15.4+0.02*14+0.01*19.5)/$H95</f>
      </c>
      <c r="T95" s="17"/>
      <c r="U95" s="13"/>
      <c r="V95" s="16"/>
      <c r="W95" s="13"/>
      <c r="X95" s="13"/>
      <c r="Y95" s="13">
        <f>(0*25.3+0*22.9+0*47.2+0*15.4+0.2*14+0.1*19.5)/$H95</f>
      </c>
      <c r="Z95" s="2" t="s">
        <v>253</v>
      </c>
      <c r="AA95" s="13">
        <f>H95*I95/100</f>
      </c>
      <c r="AB95" s="13">
        <f>H95*J95/100</f>
      </c>
      <c r="AC95" s="15">
        <f>H95*K95</f>
      </c>
      <c r="AD95" s="15">
        <f>H95*M95</f>
      </c>
      <c r="AE95" s="13">
        <f>H95*L95/100</f>
      </c>
      <c r="AF95" s="13">
        <f>AA95+AB95+AE95</f>
      </c>
      <c r="AG95" s="13">
        <f>I95+J95+L95</f>
      </c>
      <c r="AH95" s="18">
        <f>$H95*I95</f>
      </c>
      <c r="AI95" s="18">
        <f>$H95*J95</f>
      </c>
      <c r="AJ95" s="18">
        <f>$H95*K95</f>
      </c>
      <c r="AK95" s="18">
        <f>$H95*L95</f>
      </c>
      <c r="AL95" s="18">
        <f>$H95*M95</f>
      </c>
      <c r="AM95" s="14"/>
      <c r="AN95" s="14"/>
      <c r="AO95" s="14"/>
    </row>
    <row x14ac:dyDescent="0.25" r="96" customHeight="1" ht="17.25">
      <c r="A96" s="2" t="s">
        <v>269</v>
      </c>
      <c r="B96" s="2" t="s">
        <v>95</v>
      </c>
      <c r="C96" s="2" t="s">
        <v>159</v>
      </c>
      <c r="D96" s="2"/>
      <c r="E96" s="2" t="s">
        <v>52</v>
      </c>
      <c r="F96" s="2" t="s">
        <v>96</v>
      </c>
      <c r="G96" s="2" t="s">
        <v>97</v>
      </c>
      <c r="H96" s="16">
        <v>9.633233</v>
      </c>
      <c r="I96" s="13">
        <v>0.3896732280844863</v>
      </c>
      <c r="J96" s="13">
        <v>7.799577327777704</v>
      </c>
      <c r="K96" s="15">
        <v>35.04896578334605</v>
      </c>
      <c r="L96" s="13">
        <v>1.083120443572786</v>
      </c>
      <c r="M96" s="13">
        <v>0.16660194350121085</v>
      </c>
      <c r="N96" s="15"/>
      <c r="O96" s="16"/>
      <c r="P96" s="13"/>
      <c r="Q96" s="13"/>
      <c r="R96" s="17"/>
      <c r="S96" s="16">
        <v>0.009161273435619467</v>
      </c>
      <c r="T96" s="17"/>
      <c r="U96" s="13"/>
      <c r="V96" s="16"/>
      <c r="W96" s="13"/>
      <c r="X96" s="13"/>
      <c r="Y96" s="14"/>
      <c r="Z96" s="2"/>
      <c r="AA96" s="13">
        <f>H96*I96/100</f>
      </c>
      <c r="AB96" s="13">
        <f>H96*J96/100</f>
      </c>
      <c r="AC96" s="15">
        <f>H96*K96</f>
      </c>
      <c r="AD96" s="15">
        <f>H96*M96</f>
      </c>
      <c r="AE96" s="13">
        <f>H96*L96/100</f>
      </c>
      <c r="AF96" s="13">
        <f>AA96+AB96+AE96</f>
      </c>
      <c r="AG96" s="13">
        <f>I96+J96+L96</f>
      </c>
      <c r="AH96" s="18">
        <f>$H96*I96</f>
      </c>
      <c r="AI96" s="18">
        <f>$H96*J96</f>
      </c>
      <c r="AJ96" s="18">
        <f>$H96*K96</f>
      </c>
      <c r="AK96" s="18">
        <f>$H96*L96</f>
      </c>
      <c r="AL96" s="18">
        <f>$H96*M96</f>
      </c>
      <c r="AM96" s="14"/>
      <c r="AN96" s="14"/>
      <c r="AO96" s="14"/>
    </row>
    <row x14ac:dyDescent="0.25" r="97" customHeight="1" ht="17.25">
      <c r="A97" s="2" t="s">
        <v>270</v>
      </c>
      <c r="B97" s="2" t="s">
        <v>95</v>
      </c>
      <c r="C97" s="2" t="s">
        <v>40</v>
      </c>
      <c r="D97" s="2" t="s">
        <v>64</v>
      </c>
      <c r="E97" s="2" t="s">
        <v>52</v>
      </c>
      <c r="F97" s="2" t="s">
        <v>65</v>
      </c>
      <c r="G97" s="2" t="s">
        <v>227</v>
      </c>
      <c r="H97" s="13">
        <v>427.8</v>
      </c>
      <c r="I97" s="15">
        <v>2.4990042075736327</v>
      </c>
      <c r="J97" s="15">
        <v>3.3728190743338002</v>
      </c>
      <c r="K97" s="15">
        <v>51.676203833567094</v>
      </c>
      <c r="L97" s="13"/>
      <c r="M97" s="13"/>
      <c r="N97" s="15"/>
      <c r="O97" s="16"/>
      <c r="P97" s="13"/>
      <c r="Q97" s="13"/>
      <c r="R97" s="17"/>
      <c r="S97" s="13"/>
      <c r="T97" s="17"/>
      <c r="U97" s="13"/>
      <c r="V97" s="16"/>
      <c r="W97" s="13"/>
      <c r="X97" s="13"/>
      <c r="Y97" s="14"/>
      <c r="Z97" s="2"/>
      <c r="AA97" s="13">
        <f>H97*I97/100</f>
      </c>
      <c r="AB97" s="13">
        <f>H97*J97/100</f>
      </c>
      <c r="AC97" s="15">
        <f>H97*K97</f>
      </c>
      <c r="AD97" s="15">
        <f>H97*M97</f>
      </c>
      <c r="AE97" s="13">
        <f>H97*L97/100</f>
      </c>
      <c r="AF97" s="13">
        <f>AA97+AB97+AE97</f>
      </c>
      <c r="AG97" s="13">
        <f>I97+J97+L97</f>
      </c>
      <c r="AH97" s="18">
        <f>$H97*I97</f>
      </c>
      <c r="AI97" s="18">
        <f>$H97*J97</f>
      </c>
      <c r="AJ97" s="18">
        <f>$H97*K97</f>
      </c>
      <c r="AK97" s="18">
        <f>$H97*L97</f>
      </c>
      <c r="AL97" s="18">
        <f>$H97*M97</f>
      </c>
      <c r="AM97" s="14"/>
      <c r="AN97" s="14"/>
      <c r="AO97" s="14"/>
    </row>
    <row x14ac:dyDescent="0.25" r="98" customHeight="1" ht="17.25">
      <c r="A98" s="2" t="s">
        <v>271</v>
      </c>
      <c r="B98" s="2" t="s">
        <v>95</v>
      </c>
      <c r="C98" s="2" t="s">
        <v>40</v>
      </c>
      <c r="D98" s="2" t="s">
        <v>64</v>
      </c>
      <c r="E98" s="2" t="s">
        <v>52</v>
      </c>
      <c r="F98" s="2" t="s">
        <v>65</v>
      </c>
      <c r="G98" s="2" t="s">
        <v>227</v>
      </c>
      <c r="H98" s="13">
        <v>24.400000000000002</v>
      </c>
      <c r="I98" s="13">
        <v>3.1126229508196723</v>
      </c>
      <c r="J98" s="13">
        <v>4.597090163934427</v>
      </c>
      <c r="K98" s="15">
        <v>61.174180327868854</v>
      </c>
      <c r="L98" s="13"/>
      <c r="M98" s="13"/>
      <c r="N98" s="15"/>
      <c r="O98" s="16"/>
      <c r="P98" s="13"/>
      <c r="Q98" s="13"/>
      <c r="R98" s="17"/>
      <c r="S98" s="13"/>
      <c r="T98" s="17"/>
      <c r="U98" s="13"/>
      <c r="V98" s="16"/>
      <c r="W98" s="13"/>
      <c r="X98" s="13"/>
      <c r="Y98" s="14"/>
      <c r="Z98" s="2"/>
      <c r="AA98" s="13">
        <f>H98*I98/100</f>
      </c>
      <c r="AB98" s="13">
        <f>H98*J98/100</f>
      </c>
      <c r="AC98" s="15">
        <f>H98*K98</f>
      </c>
      <c r="AD98" s="15">
        <f>H98*M98</f>
      </c>
      <c r="AE98" s="13">
        <f>H98*L98/100</f>
      </c>
      <c r="AF98" s="13">
        <f>AA98+AB98+AE98</f>
      </c>
      <c r="AG98" s="13">
        <f>I98+J98+L98</f>
      </c>
      <c r="AH98" s="18">
        <f>$H98*I98</f>
      </c>
      <c r="AI98" s="18">
        <f>$H98*J98</f>
      </c>
      <c r="AJ98" s="18">
        <f>$H98*K98</f>
      </c>
      <c r="AK98" s="18">
        <f>$H98*L98</f>
      </c>
      <c r="AL98" s="18">
        <f>$H98*M98</f>
      </c>
      <c r="AM98" s="14"/>
      <c r="AN98" s="14"/>
      <c r="AO98" s="14"/>
    </row>
    <row x14ac:dyDescent="0.25" r="99" customHeight="1" ht="17.25">
      <c r="A99" s="2" t="s">
        <v>272</v>
      </c>
      <c r="B99" s="2" t="s">
        <v>95</v>
      </c>
      <c r="C99" s="2" t="s">
        <v>40</v>
      </c>
      <c r="D99" s="2" t="s">
        <v>64</v>
      </c>
      <c r="E99" s="2" t="s">
        <v>52</v>
      </c>
      <c r="F99" s="2" t="s">
        <v>65</v>
      </c>
      <c r="G99" s="2" t="s">
        <v>227</v>
      </c>
      <c r="H99" s="13">
        <v>145.1</v>
      </c>
      <c r="I99" s="15">
        <v>3.9301585113714688</v>
      </c>
      <c r="J99" s="15">
        <v>8.34459682977257</v>
      </c>
      <c r="K99" s="17">
        <v>62.486836664369406</v>
      </c>
      <c r="L99" s="13"/>
      <c r="M99" s="13"/>
      <c r="N99" s="15"/>
      <c r="O99" s="16"/>
      <c r="P99" s="13"/>
      <c r="Q99" s="13"/>
      <c r="R99" s="17"/>
      <c r="S99" s="13"/>
      <c r="T99" s="17"/>
      <c r="U99" s="13"/>
      <c r="V99" s="16"/>
      <c r="W99" s="13"/>
      <c r="X99" s="13"/>
      <c r="Y99" s="14"/>
      <c r="Z99" s="2"/>
      <c r="AA99" s="13">
        <f>H99*I99/100</f>
      </c>
      <c r="AB99" s="13">
        <f>H99*J99/100</f>
      </c>
      <c r="AC99" s="15">
        <f>H99*K99</f>
      </c>
      <c r="AD99" s="15">
        <f>H99*M99</f>
      </c>
      <c r="AE99" s="13">
        <f>H99*L99/100</f>
      </c>
      <c r="AF99" s="13">
        <f>AA99+AB99+AE99</f>
      </c>
      <c r="AG99" s="13">
        <f>I99+J99+L99</f>
      </c>
      <c r="AH99" s="18">
        <f>$H99*I99</f>
      </c>
      <c r="AI99" s="18">
        <f>$H99*J99</f>
      </c>
      <c r="AJ99" s="18">
        <f>$H99*K99</f>
      </c>
      <c r="AK99" s="18">
        <f>$H99*L99</f>
      </c>
      <c r="AL99" s="18">
        <f>$H99*M99</f>
      </c>
      <c r="AM99" s="14"/>
      <c r="AN99" s="14"/>
      <c r="AO99" s="14"/>
    </row>
    <row x14ac:dyDescent="0.25" r="100" customHeight="1" ht="17.25">
      <c r="A100" s="2" t="s">
        <v>273</v>
      </c>
      <c r="B100" s="2" t="s">
        <v>95</v>
      </c>
      <c r="C100" s="2" t="s">
        <v>40</v>
      </c>
      <c r="D100" s="2" t="s">
        <v>64</v>
      </c>
      <c r="E100" s="2" t="s">
        <v>52</v>
      </c>
      <c r="F100" s="2" t="s">
        <v>65</v>
      </c>
      <c r="G100" s="2" t="s">
        <v>227</v>
      </c>
      <c r="H100" s="15">
        <v>56</v>
      </c>
      <c r="I100" s="15">
        <v>5.310714285714285</v>
      </c>
      <c r="J100" s="15">
        <v>7.821785714285714</v>
      </c>
      <c r="K100" s="17">
        <v>106.26785714285714</v>
      </c>
      <c r="L100" s="13"/>
      <c r="M100" s="13"/>
      <c r="N100" s="15"/>
      <c r="O100" s="16"/>
      <c r="P100" s="13"/>
      <c r="Q100" s="13"/>
      <c r="R100" s="17"/>
      <c r="S100" s="13"/>
      <c r="T100" s="17"/>
      <c r="U100" s="13"/>
      <c r="V100" s="16"/>
      <c r="W100" s="13"/>
      <c r="X100" s="13"/>
      <c r="Y100" s="14"/>
      <c r="Z100" s="2"/>
      <c r="AA100" s="13">
        <f>H100*I100/100</f>
      </c>
      <c r="AB100" s="13">
        <f>H100*J100/100</f>
      </c>
      <c r="AC100" s="15">
        <f>H100*K100</f>
      </c>
      <c r="AD100" s="15">
        <f>H100*M100</f>
      </c>
      <c r="AE100" s="13">
        <f>H100*L100/100</f>
      </c>
      <c r="AF100" s="13">
        <f>AA100+AB100+AE100</f>
      </c>
      <c r="AG100" s="13">
        <f>I100+J100+L100</f>
      </c>
      <c r="AH100" s="18">
        <f>$H100*I100</f>
      </c>
      <c r="AI100" s="18">
        <f>$H100*J100</f>
      </c>
      <c r="AJ100" s="18">
        <f>$H100*K100</f>
      </c>
      <c r="AK100" s="18">
        <f>$H100*L100</f>
      </c>
      <c r="AL100" s="18">
        <f>$H100*M100</f>
      </c>
      <c r="AM100" s="14"/>
      <c r="AN100" s="14"/>
      <c r="AO100" s="14"/>
    </row>
    <row x14ac:dyDescent="0.25" r="101" customHeight="1" ht="17.25">
      <c r="A101" s="2" t="s">
        <v>274</v>
      </c>
      <c r="B101" s="2" t="s">
        <v>95</v>
      </c>
      <c r="C101" s="2" t="s">
        <v>40</v>
      </c>
      <c r="D101" s="2" t="s">
        <v>64</v>
      </c>
      <c r="E101" s="2" t="s">
        <v>52</v>
      </c>
      <c r="F101" s="2" t="s">
        <v>65</v>
      </c>
      <c r="G101" s="2" t="s">
        <v>227</v>
      </c>
      <c r="H101" s="13">
        <v>8.27</v>
      </c>
      <c r="I101" s="15">
        <v>2.421064087061669</v>
      </c>
      <c r="J101" s="15">
        <v>5.698101571946796</v>
      </c>
      <c r="K101" s="17">
        <v>35.54268440145103</v>
      </c>
      <c r="L101" s="13"/>
      <c r="M101" s="13"/>
      <c r="N101" s="15"/>
      <c r="O101" s="16"/>
      <c r="P101" s="13"/>
      <c r="Q101" s="13"/>
      <c r="R101" s="17"/>
      <c r="S101" s="13"/>
      <c r="T101" s="17"/>
      <c r="U101" s="13"/>
      <c r="V101" s="16"/>
      <c r="W101" s="13"/>
      <c r="X101" s="13"/>
      <c r="Y101" s="14"/>
      <c r="Z101" s="2"/>
      <c r="AA101" s="13">
        <f>H101*I101/100</f>
      </c>
      <c r="AB101" s="13">
        <f>H101*J101/100</f>
      </c>
      <c r="AC101" s="15">
        <f>H101*K101</f>
      </c>
      <c r="AD101" s="15">
        <f>H101*M101</f>
      </c>
      <c r="AE101" s="13">
        <f>H101*L101/100</f>
      </c>
      <c r="AF101" s="13">
        <f>AA101+AB101+AE101</f>
      </c>
      <c r="AG101" s="13">
        <f>I101+J101+L101</f>
      </c>
      <c r="AH101" s="18">
        <f>$H101*I101</f>
      </c>
      <c r="AI101" s="18">
        <f>$H101*J101</f>
      </c>
      <c r="AJ101" s="18">
        <f>$H101*K101</f>
      </c>
      <c r="AK101" s="18">
        <f>$H101*L101</f>
      </c>
      <c r="AL101" s="18">
        <f>$H101*M101</f>
      </c>
      <c r="AM101" s="14"/>
      <c r="AN101" s="14"/>
      <c r="AO101" s="14"/>
    </row>
    <row x14ac:dyDescent="0.25" r="102" customHeight="1" ht="17.25">
      <c r="A102" s="2" t="s">
        <v>275</v>
      </c>
      <c r="B102" s="2" t="s">
        <v>95</v>
      </c>
      <c r="C102" s="2" t="s">
        <v>159</v>
      </c>
      <c r="D102" s="2"/>
      <c r="E102" s="2" t="s">
        <v>52</v>
      </c>
      <c r="F102" s="2" t="s">
        <v>276</v>
      </c>
      <c r="G102" s="2" t="s">
        <v>277</v>
      </c>
      <c r="H102" s="14">
        <v>20</v>
      </c>
      <c r="I102" s="13"/>
      <c r="J102" s="13">
        <v>0.35</v>
      </c>
      <c r="K102" s="14"/>
      <c r="L102" s="13">
        <v>0.35</v>
      </c>
      <c r="M102" s="13"/>
      <c r="N102" s="15"/>
      <c r="O102" s="16"/>
      <c r="P102" s="13"/>
      <c r="Q102" s="13"/>
      <c r="R102" s="17"/>
      <c r="S102" s="13"/>
      <c r="T102" s="14">
        <v>41</v>
      </c>
      <c r="U102" s="13"/>
      <c r="V102" s="16"/>
      <c r="W102" s="13"/>
      <c r="X102" s="13"/>
      <c r="Y102" s="14"/>
      <c r="Z102" s="2"/>
      <c r="AA102" s="13">
        <f>H102*I102/100</f>
      </c>
      <c r="AB102" s="13">
        <f>H102*J102/100</f>
      </c>
      <c r="AC102" s="15">
        <f>H102*K102</f>
      </c>
      <c r="AD102" s="15">
        <f>H102*M102</f>
      </c>
      <c r="AE102" s="13">
        <f>H102*L102/100</f>
      </c>
      <c r="AF102" s="13">
        <f>AA102+AB102+AE102</f>
      </c>
      <c r="AG102" s="13">
        <f>I102+J102+L102</f>
      </c>
      <c r="AH102" s="18">
        <f>$H102*I102</f>
      </c>
      <c r="AI102" s="18">
        <f>$H102*J102</f>
      </c>
      <c r="AJ102" s="18">
        <f>$H102*K102</f>
      </c>
      <c r="AK102" s="18">
        <f>$H102*L102</f>
      </c>
      <c r="AL102" s="18">
        <f>$H102*M102</f>
      </c>
      <c r="AM102" s="14"/>
      <c r="AN102" s="14"/>
      <c r="AO102" s="14"/>
    </row>
    <row x14ac:dyDescent="0.25" r="103" customHeight="1" ht="17.25">
      <c r="A103" s="2" t="s">
        <v>278</v>
      </c>
      <c r="B103" s="2" t="s">
        <v>95</v>
      </c>
      <c r="C103" s="2" t="s">
        <v>50</v>
      </c>
      <c r="D103" s="2"/>
      <c r="E103" s="2" t="s">
        <v>52</v>
      </c>
      <c r="F103" s="2" t="s">
        <v>279</v>
      </c>
      <c r="G103" s="2" t="s">
        <v>106</v>
      </c>
      <c r="H103" s="16">
        <v>0.227899</v>
      </c>
      <c r="I103" s="13">
        <v>0.17</v>
      </c>
      <c r="J103" s="15">
        <v>1.85</v>
      </c>
      <c r="K103" s="17">
        <v>33</v>
      </c>
      <c r="L103" s="13">
        <v>2.96</v>
      </c>
      <c r="M103" s="13"/>
      <c r="N103" s="15"/>
      <c r="O103" s="16"/>
      <c r="P103" s="13"/>
      <c r="Q103" s="13"/>
      <c r="R103" s="17"/>
      <c r="S103" s="13"/>
      <c r="T103" s="17"/>
      <c r="U103" s="13"/>
      <c r="V103" s="16"/>
      <c r="W103" s="13"/>
      <c r="X103" s="13"/>
      <c r="Y103" s="14"/>
      <c r="Z103" s="2"/>
      <c r="AA103" s="13">
        <f>H103*I103/100</f>
      </c>
      <c r="AB103" s="13">
        <f>H103*J103/100</f>
      </c>
      <c r="AC103" s="15">
        <f>H103*K103</f>
      </c>
      <c r="AD103" s="15">
        <f>H103*M103</f>
      </c>
      <c r="AE103" s="13">
        <f>H103*L103/100</f>
      </c>
      <c r="AF103" s="13">
        <f>AA103+AB103+AE103</f>
      </c>
      <c r="AG103" s="13">
        <f>I103+J103+L103</f>
      </c>
      <c r="AH103" s="18">
        <f>$H103*I103</f>
      </c>
      <c r="AI103" s="18">
        <f>$H103*J103</f>
      </c>
      <c r="AJ103" s="18">
        <f>$H103*K103</f>
      </c>
      <c r="AK103" s="18">
        <f>$H103*L103</f>
      </c>
      <c r="AL103" s="18">
        <f>$H103*M103</f>
      </c>
      <c r="AM103" s="14"/>
      <c r="AN103" s="14"/>
      <c r="AO103" s="14"/>
    </row>
    <row x14ac:dyDescent="0.25" r="104" customHeight="1" ht="17.25">
      <c r="A104" s="2" t="s">
        <v>280</v>
      </c>
      <c r="B104" s="2" t="s">
        <v>95</v>
      </c>
      <c r="C104" s="2" t="s">
        <v>50</v>
      </c>
      <c r="D104" s="2"/>
      <c r="E104" s="2" t="s">
        <v>52</v>
      </c>
      <c r="F104" s="2" t="s">
        <v>281</v>
      </c>
      <c r="G104" s="2" t="s">
        <v>282</v>
      </c>
      <c r="H104" s="14">
        <v>107</v>
      </c>
      <c r="I104" s="13">
        <v>3.494392523364486</v>
      </c>
      <c r="J104" s="13">
        <v>0.08691588785046729</v>
      </c>
      <c r="K104" s="15">
        <v>9.25233644859813</v>
      </c>
      <c r="L104" s="13">
        <v>0.18831775700934578</v>
      </c>
      <c r="M104" s="13">
        <v>0.10579439252336449</v>
      </c>
      <c r="N104" s="15"/>
      <c r="O104" s="16"/>
      <c r="P104" s="13"/>
      <c r="Q104" s="13"/>
      <c r="R104" s="17"/>
      <c r="S104" s="13"/>
      <c r="T104" s="17"/>
      <c r="U104" s="13"/>
      <c r="V104" s="16"/>
      <c r="W104" s="13"/>
      <c r="X104" s="13"/>
      <c r="Y104" s="14"/>
      <c r="Z104" s="2"/>
      <c r="AA104" s="13">
        <f>H104*I104/100</f>
      </c>
      <c r="AB104" s="13">
        <f>H104*J104/100</f>
      </c>
      <c r="AC104" s="15">
        <f>H104*K104</f>
      </c>
      <c r="AD104" s="15">
        <f>H104*M104</f>
      </c>
      <c r="AE104" s="13">
        <f>H104*L104/100</f>
      </c>
      <c r="AF104" s="13">
        <f>AA104+AB104+AE104</f>
      </c>
      <c r="AG104" s="13">
        <f>I104+J104+L104</f>
      </c>
      <c r="AH104" s="18">
        <f>$H104*I104</f>
      </c>
      <c r="AI104" s="18">
        <f>$H104*J104</f>
      </c>
      <c r="AJ104" s="18">
        <f>$H104*K104</f>
      </c>
      <c r="AK104" s="18">
        <f>$H104*L104</f>
      </c>
      <c r="AL104" s="18">
        <f>$H104*M104</f>
      </c>
      <c r="AM104" s="14"/>
      <c r="AN104" s="14"/>
      <c r="AO104" s="14"/>
    </row>
    <row x14ac:dyDescent="0.25" r="105" customHeight="1" ht="17.25">
      <c r="A105" s="2" t="s">
        <v>283</v>
      </c>
      <c r="B105" s="2" t="s">
        <v>95</v>
      </c>
      <c r="C105" s="2" t="s">
        <v>40</v>
      </c>
      <c r="D105" s="2" t="s">
        <v>64</v>
      </c>
      <c r="E105" s="2" t="s">
        <v>52</v>
      </c>
      <c r="F105" s="2" t="s">
        <v>284</v>
      </c>
      <c r="G105" s="2" t="s">
        <v>108</v>
      </c>
      <c r="H105" s="13">
        <v>43.6</v>
      </c>
      <c r="I105" s="13">
        <v>0.95</v>
      </c>
      <c r="J105" s="13">
        <v>4.09</v>
      </c>
      <c r="K105" s="14"/>
      <c r="L105" s="13"/>
      <c r="M105" s="13"/>
      <c r="N105" s="15"/>
      <c r="O105" s="16"/>
      <c r="P105" s="13"/>
      <c r="Q105" s="13"/>
      <c r="R105" s="17"/>
      <c r="S105" s="13"/>
      <c r="T105" s="17"/>
      <c r="U105" s="13"/>
      <c r="V105" s="16"/>
      <c r="W105" s="13"/>
      <c r="X105" s="13"/>
      <c r="Y105" s="14"/>
      <c r="Z105" s="2"/>
      <c r="AA105" s="13">
        <f>H105*I105/100</f>
      </c>
      <c r="AB105" s="13">
        <f>H105*J105/100</f>
      </c>
      <c r="AC105" s="15">
        <f>H105*K105</f>
      </c>
      <c r="AD105" s="15">
        <f>H105*M105</f>
      </c>
      <c r="AE105" s="13">
        <f>H105*L105/100</f>
      </c>
      <c r="AF105" s="13">
        <f>AA105+AB105+AE105</f>
      </c>
      <c r="AG105" s="13">
        <f>I105+J105+L105</f>
      </c>
      <c r="AH105" s="18">
        <f>$H105*I105</f>
      </c>
      <c r="AI105" s="18">
        <f>$H105*J105</f>
      </c>
      <c r="AJ105" s="18">
        <f>$H105*K105</f>
      </c>
      <c r="AK105" s="18">
        <f>$H105*L105</f>
      </c>
      <c r="AL105" s="18">
        <f>$H105*M105</f>
      </c>
      <c r="AM105" s="14"/>
      <c r="AN105" s="14"/>
      <c r="AO105" s="14"/>
    </row>
    <row x14ac:dyDescent="0.25" r="106" customHeight="1" ht="17.25">
      <c r="A106" s="2" t="s">
        <v>285</v>
      </c>
      <c r="B106" s="2" t="s">
        <v>95</v>
      </c>
      <c r="C106" s="2" t="s">
        <v>159</v>
      </c>
      <c r="D106" s="2"/>
      <c r="E106" s="2" t="s">
        <v>52</v>
      </c>
      <c r="F106" s="2" t="s">
        <v>286</v>
      </c>
      <c r="G106" s="2" t="s">
        <v>287</v>
      </c>
      <c r="H106" s="16">
        <v>0.209338</v>
      </c>
      <c r="I106" s="13">
        <v>1.3221077874060132</v>
      </c>
      <c r="J106" s="13">
        <v>1.1132319024735118</v>
      </c>
      <c r="K106" s="15">
        <v>161.00705079823064</v>
      </c>
      <c r="L106" s="13"/>
      <c r="M106" s="13">
        <v>2.1011007079460007</v>
      </c>
      <c r="N106" s="15"/>
      <c r="O106" s="16"/>
      <c r="P106" s="13"/>
      <c r="Q106" s="13"/>
      <c r="R106" s="17"/>
      <c r="S106" s="13"/>
      <c r="T106" s="17"/>
      <c r="U106" s="13"/>
      <c r="V106" s="16"/>
      <c r="W106" s="13"/>
      <c r="X106" s="13"/>
      <c r="Y106" s="14"/>
      <c r="Z106" s="2"/>
      <c r="AA106" s="13">
        <f>H106*I106/100</f>
      </c>
      <c r="AB106" s="13">
        <f>H106*J106/100</f>
      </c>
      <c r="AC106" s="15">
        <f>H106*K106</f>
      </c>
      <c r="AD106" s="15">
        <f>H106*M106</f>
      </c>
      <c r="AE106" s="13">
        <f>H106*L106/100</f>
      </c>
      <c r="AF106" s="13">
        <f>AA106+AB106+AE106</f>
      </c>
      <c r="AG106" s="13">
        <f>I106+J106+L106</f>
      </c>
      <c r="AH106" s="18">
        <f>$H106*I106</f>
      </c>
      <c r="AI106" s="18">
        <f>$H106*J106</f>
      </c>
      <c r="AJ106" s="18">
        <f>$H106*K106</f>
      </c>
      <c r="AK106" s="18">
        <f>$H106*L106</f>
      </c>
      <c r="AL106" s="18">
        <f>$H106*M106</f>
      </c>
      <c r="AM106" s="14"/>
      <c r="AN106" s="14"/>
      <c r="AO106" s="14"/>
    </row>
    <row x14ac:dyDescent="0.25" r="107" customHeight="1" ht="17.25">
      <c r="A107" s="2" t="s">
        <v>288</v>
      </c>
      <c r="B107" s="2" t="s">
        <v>95</v>
      </c>
      <c r="C107" s="2" t="s">
        <v>50</v>
      </c>
      <c r="D107" s="2"/>
      <c r="E107" s="2" t="s">
        <v>52</v>
      </c>
      <c r="F107" s="2" t="s">
        <v>43</v>
      </c>
      <c r="G107" s="2" t="s">
        <v>289</v>
      </c>
      <c r="H107" s="16">
        <v>0.215534</v>
      </c>
      <c r="I107" s="13">
        <v>4.91</v>
      </c>
      <c r="J107" s="13">
        <v>2.2</v>
      </c>
      <c r="K107" s="13">
        <v>193.6</v>
      </c>
      <c r="L107" s="13">
        <v>0.15</v>
      </c>
      <c r="M107" s="13"/>
      <c r="N107" s="15"/>
      <c r="O107" s="16"/>
      <c r="P107" s="13"/>
      <c r="Q107" s="13"/>
      <c r="R107" s="17"/>
      <c r="S107" s="13"/>
      <c r="T107" s="17"/>
      <c r="U107" s="13"/>
      <c r="V107" s="16"/>
      <c r="W107" s="13"/>
      <c r="X107" s="13"/>
      <c r="Y107" s="14"/>
      <c r="Z107" s="2"/>
      <c r="AA107" s="13">
        <f>H107*I107/100</f>
      </c>
      <c r="AB107" s="13">
        <f>H107*J107/100</f>
      </c>
      <c r="AC107" s="15">
        <f>H107*K107</f>
      </c>
      <c r="AD107" s="15">
        <f>H107*M107</f>
      </c>
      <c r="AE107" s="13">
        <f>H107*L107/100</f>
      </c>
      <c r="AF107" s="13">
        <f>AA107+AB107+AE107</f>
      </c>
      <c r="AG107" s="13">
        <f>I107+J107+L107</f>
      </c>
      <c r="AH107" s="18">
        <f>$H107*I107</f>
      </c>
      <c r="AI107" s="18">
        <f>$H107*J107</f>
      </c>
      <c r="AJ107" s="18">
        <f>$H107*K107</f>
      </c>
      <c r="AK107" s="18">
        <f>$H107*L107</f>
      </c>
      <c r="AL107" s="18">
        <f>$H107*M107</f>
      </c>
      <c r="AM107" s="14"/>
      <c r="AN107" s="14"/>
      <c r="AO107" s="14"/>
    </row>
    <row x14ac:dyDescent="0.25" r="108" customHeight="1" ht="17.25">
      <c r="A108" s="2" t="s">
        <v>290</v>
      </c>
      <c r="B108" s="2" t="s">
        <v>95</v>
      </c>
      <c r="C108" s="2" t="s">
        <v>56</v>
      </c>
      <c r="D108" s="2" t="s">
        <v>291</v>
      </c>
      <c r="E108" s="2" t="s">
        <v>52</v>
      </c>
      <c r="F108" s="2" t="s">
        <v>292</v>
      </c>
      <c r="G108" s="2" t="s">
        <v>293</v>
      </c>
      <c r="H108" s="16">
        <v>4.87613</v>
      </c>
      <c r="I108" s="19">
        <v>0.14567621444344522</v>
      </c>
      <c r="J108" s="13">
        <v>1.328</v>
      </c>
      <c r="K108" s="15">
        <v>79.29</v>
      </c>
      <c r="L108" s="19">
        <v>0.016628909310248075</v>
      </c>
      <c r="M108" s="13">
        <v>0.294</v>
      </c>
      <c r="N108" s="15"/>
      <c r="O108" s="16"/>
      <c r="P108" s="13"/>
      <c r="Q108" s="13"/>
      <c r="R108" s="17"/>
      <c r="S108" s="13"/>
      <c r="T108" s="17"/>
      <c r="U108" s="13"/>
      <c r="V108" s="16"/>
      <c r="W108" s="13"/>
      <c r="X108" s="13"/>
      <c r="Y108" s="14">
        <v>88</v>
      </c>
      <c r="Z108" s="2" t="s">
        <v>294</v>
      </c>
      <c r="AA108" s="13">
        <f>H108*I108/100</f>
      </c>
      <c r="AB108" s="13">
        <f>H108*J108/100</f>
      </c>
      <c r="AC108" s="15">
        <f>H108*K108</f>
      </c>
      <c r="AD108" s="15">
        <f>H108*M108</f>
      </c>
      <c r="AE108" s="13">
        <f>H108*L108/100</f>
      </c>
      <c r="AF108" s="13">
        <f>AA108+AB108+AE108</f>
      </c>
      <c r="AG108" s="13">
        <f>I108+J108+L108</f>
      </c>
      <c r="AH108" s="18">
        <f>$H108*I108</f>
      </c>
      <c r="AI108" s="18">
        <f>$H108*J108</f>
      </c>
      <c r="AJ108" s="18">
        <f>$H108*K108</f>
      </c>
      <c r="AK108" s="18">
        <f>$H108*L108</f>
      </c>
      <c r="AL108" s="18">
        <f>$H108*M108</f>
      </c>
      <c r="AM108" s="14"/>
      <c r="AN108" s="14"/>
      <c r="AO108" s="14"/>
    </row>
    <row x14ac:dyDescent="0.25" r="109" customHeight="1" ht="17.25">
      <c r="A109" s="2" t="s">
        <v>295</v>
      </c>
      <c r="B109" s="2" t="s">
        <v>95</v>
      </c>
      <c r="C109" s="2" t="s">
        <v>56</v>
      </c>
      <c r="D109" s="2" t="s">
        <v>79</v>
      </c>
      <c r="E109" s="2" t="s">
        <v>52</v>
      </c>
      <c r="F109" s="2" t="s">
        <v>296</v>
      </c>
      <c r="G109" s="2" t="s">
        <v>256</v>
      </c>
      <c r="H109" s="16">
        <v>0.145097</v>
      </c>
      <c r="I109" s="13">
        <v>11.46</v>
      </c>
      <c r="J109" s="13"/>
      <c r="K109" s="14"/>
      <c r="L109" s="13"/>
      <c r="M109" s="13"/>
      <c r="N109" s="15"/>
      <c r="O109" s="16"/>
      <c r="P109" s="13"/>
      <c r="Q109" s="13"/>
      <c r="R109" s="17"/>
      <c r="S109" s="13"/>
      <c r="T109" s="17"/>
      <c r="U109" s="13"/>
      <c r="V109" s="16"/>
      <c r="W109" s="13"/>
      <c r="X109" s="13"/>
      <c r="Y109" s="14"/>
      <c r="Z109" s="2"/>
      <c r="AA109" s="13">
        <f>H109*I109/100</f>
      </c>
      <c r="AB109" s="13">
        <f>H109*J109/100</f>
      </c>
      <c r="AC109" s="15">
        <f>H109*K109</f>
      </c>
      <c r="AD109" s="15">
        <f>H109*M109</f>
      </c>
      <c r="AE109" s="13">
        <f>H109*L109/100</f>
      </c>
      <c r="AF109" s="13">
        <f>AA109+AB109+AE109</f>
      </c>
      <c r="AG109" s="13">
        <f>I109+J109+L109</f>
      </c>
      <c r="AH109" s="18">
        <f>$H109*I109</f>
      </c>
      <c r="AI109" s="18">
        <f>$H109*J109</f>
      </c>
      <c r="AJ109" s="18">
        <f>$H109*K109</f>
      </c>
      <c r="AK109" s="18">
        <f>$H109*L109</f>
      </c>
      <c r="AL109" s="18">
        <f>$H109*M109</f>
      </c>
      <c r="AM109" s="14"/>
      <c r="AN109" s="14"/>
      <c r="AO109" s="14"/>
    </row>
    <row x14ac:dyDescent="0.25" r="110" customHeight="1" ht="17.25">
      <c r="A110" s="2" t="s">
        <v>297</v>
      </c>
      <c r="B110" s="2" t="s">
        <v>95</v>
      </c>
      <c r="C110" s="2" t="s">
        <v>40</v>
      </c>
      <c r="D110" s="2" t="s">
        <v>64</v>
      </c>
      <c r="E110" s="2" t="s">
        <v>52</v>
      </c>
      <c r="F110" s="2" t="s">
        <v>202</v>
      </c>
      <c r="G110" s="2" t="s">
        <v>108</v>
      </c>
      <c r="H110" s="13">
        <v>8.096</v>
      </c>
      <c r="I110" s="13">
        <v>0.3</v>
      </c>
      <c r="J110" s="13">
        <v>0.7</v>
      </c>
      <c r="K110" s="14">
        <v>9</v>
      </c>
      <c r="L110" s="13">
        <v>1.2</v>
      </c>
      <c r="M110" s="13"/>
      <c r="N110" s="15"/>
      <c r="O110" s="16"/>
      <c r="P110" s="13"/>
      <c r="Q110" s="13"/>
      <c r="R110" s="17"/>
      <c r="S110" s="13"/>
      <c r="T110" s="17"/>
      <c r="U110" s="13"/>
      <c r="V110" s="16"/>
      <c r="W110" s="13"/>
      <c r="X110" s="13"/>
      <c r="Y110" s="14"/>
      <c r="Z110" s="2"/>
      <c r="AA110" s="13">
        <f>H110*I110/100</f>
      </c>
      <c r="AB110" s="13">
        <f>H110*J110/100</f>
      </c>
      <c r="AC110" s="15">
        <f>H110*K110</f>
      </c>
      <c r="AD110" s="15">
        <f>H110*M110</f>
      </c>
      <c r="AE110" s="13">
        <f>H110*L110/100</f>
      </c>
      <c r="AF110" s="13">
        <f>AA110+AB110+AE110</f>
      </c>
      <c r="AG110" s="13">
        <f>I110+J110+L110</f>
      </c>
      <c r="AH110" s="18">
        <f>$H110*I110</f>
      </c>
      <c r="AI110" s="18">
        <f>$H110*J110</f>
      </c>
      <c r="AJ110" s="18">
        <f>$H110*K110</f>
      </c>
      <c r="AK110" s="18">
        <f>$H110*L110</f>
      </c>
      <c r="AL110" s="18">
        <f>$H110*M110</f>
      </c>
      <c r="AM110" s="14"/>
      <c r="AN110" s="14"/>
      <c r="AO110" s="14"/>
    </row>
    <row x14ac:dyDescent="0.25" r="111" customHeight="1" ht="17.25">
      <c r="A111" s="2" t="s">
        <v>298</v>
      </c>
      <c r="B111" s="2" t="s">
        <v>95</v>
      </c>
      <c r="C111" s="2" t="s">
        <v>159</v>
      </c>
      <c r="D111" s="2"/>
      <c r="E111" s="2" t="s">
        <v>52</v>
      </c>
      <c r="F111" s="2" t="s">
        <v>299</v>
      </c>
      <c r="G111" s="2" t="s">
        <v>227</v>
      </c>
      <c r="H111" s="14">
        <v>78</v>
      </c>
      <c r="I111" s="13">
        <v>0.2472692307692308</v>
      </c>
      <c r="J111" s="13">
        <v>0.5038461538461539</v>
      </c>
      <c r="K111" s="14"/>
      <c r="L111" s="13">
        <v>0.28423076923076923</v>
      </c>
      <c r="M111" s="13"/>
      <c r="N111" s="15"/>
      <c r="O111" s="16"/>
      <c r="P111" s="13"/>
      <c r="Q111" s="13"/>
      <c r="R111" s="17"/>
      <c r="S111" s="13"/>
      <c r="T111" s="17"/>
      <c r="U111" s="13">
        <v>0.32961538461538464</v>
      </c>
      <c r="V111" s="13"/>
      <c r="W111" s="13"/>
      <c r="X111" s="13"/>
      <c r="Y111" s="13"/>
      <c r="Z111" s="2"/>
      <c r="AA111" s="13">
        <f>H111*I111/100</f>
      </c>
      <c r="AB111" s="13">
        <f>H111*J111/100</f>
      </c>
      <c r="AC111" s="15">
        <f>H111*K111</f>
      </c>
      <c r="AD111" s="15">
        <f>H111*M111</f>
      </c>
      <c r="AE111" s="13">
        <f>H111*L111/100</f>
      </c>
      <c r="AF111" s="13">
        <f>AA111+AB111+AE111</f>
      </c>
      <c r="AG111" s="13">
        <f>I111+J111+L111</f>
      </c>
      <c r="AH111" s="18">
        <f>$H111*I111</f>
      </c>
      <c r="AI111" s="18">
        <f>$H111*J111</f>
      </c>
      <c r="AJ111" s="18">
        <f>$H111*K111</f>
      </c>
      <c r="AK111" s="18">
        <f>$H111*L111</f>
      </c>
      <c r="AL111" s="18">
        <f>$H111*M111</f>
      </c>
      <c r="AM111" s="14"/>
      <c r="AN111" s="14"/>
      <c r="AO111" s="14"/>
    </row>
    <row x14ac:dyDescent="0.25" r="112" customHeight="1" ht="17.25">
      <c r="A112" s="2" t="s">
        <v>300</v>
      </c>
      <c r="B112" s="2" t="s">
        <v>95</v>
      </c>
      <c r="C112" s="2" t="s">
        <v>40</v>
      </c>
      <c r="D112" s="2" t="s">
        <v>41</v>
      </c>
      <c r="E112" s="2" t="s">
        <v>52</v>
      </c>
      <c r="F112" s="2" t="s">
        <v>99</v>
      </c>
      <c r="G112" s="2" t="s">
        <v>100</v>
      </c>
      <c r="H112" s="16">
        <v>2.1450389999999997</v>
      </c>
      <c r="I112" s="13">
        <v>1.22</v>
      </c>
      <c r="J112" s="13">
        <v>4.41</v>
      </c>
      <c r="K112" s="13">
        <v>32.7</v>
      </c>
      <c r="L112" s="13"/>
      <c r="M112" s="13"/>
      <c r="N112" s="15"/>
      <c r="O112" s="16"/>
      <c r="P112" s="13"/>
      <c r="Q112" s="13"/>
      <c r="R112" s="17"/>
      <c r="S112" s="13"/>
      <c r="T112" s="17"/>
      <c r="U112" s="13"/>
      <c r="V112" s="16"/>
      <c r="W112" s="13"/>
      <c r="X112" s="13"/>
      <c r="Y112" s="14"/>
      <c r="Z112" s="2"/>
      <c r="AA112" s="13">
        <f>H112*I112/100</f>
      </c>
      <c r="AB112" s="13">
        <f>H112*J112/100</f>
      </c>
      <c r="AC112" s="15">
        <f>H112*K112</f>
      </c>
      <c r="AD112" s="15">
        <f>H112*M112</f>
      </c>
      <c r="AE112" s="13">
        <f>H112*L112/100</f>
      </c>
      <c r="AF112" s="13">
        <f>AA112+AB112+AE112</f>
      </c>
      <c r="AG112" s="13">
        <f>I112+J112+L112</f>
      </c>
      <c r="AH112" s="18">
        <f>$H112*I112</f>
      </c>
      <c r="AI112" s="18">
        <f>$H112*J112</f>
      </c>
      <c r="AJ112" s="18">
        <f>$H112*K112</f>
      </c>
      <c r="AK112" s="18">
        <f>$H112*L112</f>
      </c>
      <c r="AL112" s="18">
        <f>$H112*M112</f>
      </c>
      <c r="AM112" s="14"/>
      <c r="AN112" s="14"/>
      <c r="AO112" s="14"/>
    </row>
    <row x14ac:dyDescent="0.25" r="113" customHeight="1" ht="17.25">
      <c r="A113" s="2" t="s">
        <v>301</v>
      </c>
      <c r="B113" s="2" t="s">
        <v>95</v>
      </c>
      <c r="C113" s="2" t="s">
        <v>50</v>
      </c>
      <c r="D113" s="2"/>
      <c r="E113" s="2" t="s">
        <v>52</v>
      </c>
      <c r="F113" s="2" t="s">
        <v>302</v>
      </c>
      <c r="G113" s="2" t="s">
        <v>97</v>
      </c>
      <c r="H113" s="13">
        <v>4.458</v>
      </c>
      <c r="I113" s="13">
        <v>0.92</v>
      </c>
      <c r="J113" s="13">
        <v>3.24</v>
      </c>
      <c r="K113" s="13">
        <v>25.97</v>
      </c>
      <c r="L113" s="13">
        <v>0.81</v>
      </c>
      <c r="M113" s="13">
        <v>0.31</v>
      </c>
      <c r="N113" s="15"/>
      <c r="O113" s="16"/>
      <c r="P113" s="13"/>
      <c r="Q113" s="13"/>
      <c r="R113" s="17"/>
      <c r="S113" s="13"/>
      <c r="T113" s="17"/>
      <c r="U113" s="13"/>
      <c r="V113" s="16"/>
      <c r="W113" s="13"/>
      <c r="X113" s="13"/>
      <c r="Y113" s="14"/>
      <c r="Z113" s="2"/>
      <c r="AA113" s="13">
        <f>H113*I113/100</f>
      </c>
      <c r="AB113" s="13">
        <f>H113*J113/100</f>
      </c>
      <c r="AC113" s="15">
        <f>H113*K113</f>
      </c>
      <c r="AD113" s="15">
        <f>H113*M113</f>
      </c>
      <c r="AE113" s="13">
        <f>H113*L113/100</f>
      </c>
      <c r="AF113" s="13">
        <f>AA113+AB113+AE113</f>
      </c>
      <c r="AG113" s="13">
        <f>I113+J113+L113</f>
      </c>
      <c r="AH113" s="18">
        <f>$H113*I113</f>
      </c>
      <c r="AI113" s="18">
        <f>$H113*J113</f>
      </c>
      <c r="AJ113" s="18">
        <f>$H113*K113</f>
      </c>
      <c r="AK113" s="18">
        <f>$H113*L113</f>
      </c>
      <c r="AL113" s="18">
        <f>$H113*M113</f>
      </c>
      <c r="AM113" s="14"/>
      <c r="AN113" s="14"/>
      <c r="AO113" s="14"/>
    </row>
    <row x14ac:dyDescent="0.25" r="114" customHeight="1" ht="17.25">
      <c r="A114" s="2" t="s">
        <v>303</v>
      </c>
      <c r="B114" s="2" t="s">
        <v>95</v>
      </c>
      <c r="C114" s="2" t="s">
        <v>50</v>
      </c>
      <c r="D114" s="2"/>
      <c r="E114" s="2" t="s">
        <v>52</v>
      </c>
      <c r="F114" s="2" t="s">
        <v>304</v>
      </c>
      <c r="G114" s="2" t="s">
        <v>108</v>
      </c>
      <c r="H114" s="16">
        <v>4.867</v>
      </c>
      <c r="I114" s="13">
        <v>1.684857201561537</v>
      </c>
      <c r="J114" s="13">
        <v>0.935196219437025</v>
      </c>
      <c r="K114" s="17">
        <v>33.25518800082186</v>
      </c>
      <c r="L114" s="13">
        <v>1.208506266694062</v>
      </c>
      <c r="M114" s="13">
        <v>1.1089089788370656</v>
      </c>
      <c r="N114" s="15"/>
      <c r="O114" s="16"/>
      <c r="P114" s="13"/>
      <c r="Q114" s="13"/>
      <c r="R114" s="17"/>
      <c r="S114" s="13"/>
      <c r="T114" s="17"/>
      <c r="U114" s="13"/>
      <c r="V114" s="16"/>
      <c r="W114" s="13"/>
      <c r="X114" s="13"/>
      <c r="Y114" s="14"/>
      <c r="Z114" s="2"/>
      <c r="AA114" s="13">
        <f>H114*I114/100</f>
      </c>
      <c r="AB114" s="13">
        <f>H114*J114/100</f>
      </c>
      <c r="AC114" s="15">
        <f>H114*K114</f>
      </c>
      <c r="AD114" s="15">
        <f>H114*M114</f>
      </c>
      <c r="AE114" s="13">
        <f>H114*L114/100</f>
      </c>
      <c r="AF114" s="13">
        <f>AA114+AB114+AE114</f>
      </c>
      <c r="AG114" s="13">
        <f>I114+J114+L114</f>
      </c>
      <c r="AH114" s="18">
        <f>$H114*I114</f>
      </c>
      <c r="AI114" s="18">
        <f>$H114*J114</f>
      </c>
      <c r="AJ114" s="18">
        <f>$H114*K114</f>
      </c>
      <c r="AK114" s="18">
        <f>$H114*L114</f>
      </c>
      <c r="AL114" s="18">
        <f>$H114*M114</f>
      </c>
      <c r="AM114" s="14"/>
      <c r="AN114" s="14"/>
      <c r="AO114" s="14"/>
    </row>
    <row x14ac:dyDescent="0.25" r="115" customHeight="1" ht="17.25">
      <c r="A115" s="2" t="s">
        <v>305</v>
      </c>
      <c r="B115" s="2" t="s">
        <v>95</v>
      </c>
      <c r="C115" s="2" t="s">
        <v>50</v>
      </c>
      <c r="D115" s="2"/>
      <c r="E115" s="2" t="s">
        <v>52</v>
      </c>
      <c r="F115" s="2" t="s">
        <v>306</v>
      </c>
      <c r="G115" s="2" t="s">
        <v>103</v>
      </c>
      <c r="H115" s="13">
        <v>0.895</v>
      </c>
      <c r="I115" s="15">
        <v>0.7257206703910616</v>
      </c>
      <c r="J115" s="15">
        <v>3.9948603351955314</v>
      </c>
      <c r="K115" s="15">
        <v>11.315083798882682</v>
      </c>
      <c r="L115" s="15">
        <v>0.7974301675977653</v>
      </c>
      <c r="M115" s="13"/>
      <c r="N115" s="15"/>
      <c r="O115" s="16"/>
      <c r="P115" s="13"/>
      <c r="Q115" s="13"/>
      <c r="R115" s="17"/>
      <c r="S115" s="13"/>
      <c r="T115" s="17"/>
      <c r="U115" s="13"/>
      <c r="V115" s="16"/>
      <c r="W115" s="13"/>
      <c r="X115" s="13"/>
      <c r="Y115" s="14"/>
      <c r="Z115" s="2"/>
      <c r="AA115" s="13">
        <f>H115*I115/100</f>
      </c>
      <c r="AB115" s="13">
        <f>H115*J115/100</f>
      </c>
      <c r="AC115" s="15">
        <f>H115*K115</f>
      </c>
      <c r="AD115" s="15">
        <f>H115*M115</f>
      </c>
      <c r="AE115" s="13">
        <f>H115*L115/100</f>
      </c>
      <c r="AF115" s="13">
        <f>AA115+AB115+AE115</f>
      </c>
      <c r="AG115" s="13">
        <f>I115+J115+L115</f>
      </c>
      <c r="AH115" s="18">
        <f>$H115*I115</f>
      </c>
      <c r="AI115" s="18">
        <f>$H115*J115</f>
      </c>
      <c r="AJ115" s="18">
        <f>$H115*K115</f>
      </c>
      <c r="AK115" s="18">
        <f>$H115*L115</f>
      </c>
      <c r="AL115" s="18">
        <f>$H115*M115</f>
      </c>
      <c r="AM115" s="14"/>
      <c r="AN115" s="14"/>
      <c r="AO115" s="14"/>
    </row>
    <row x14ac:dyDescent="0.25" r="116" customHeight="1" ht="17.25">
      <c r="A116" s="2" t="s">
        <v>307</v>
      </c>
      <c r="B116" s="2" t="s">
        <v>95</v>
      </c>
      <c r="C116" s="2" t="s">
        <v>40</v>
      </c>
      <c r="D116" s="2" t="s">
        <v>64</v>
      </c>
      <c r="E116" s="2" t="s">
        <v>52</v>
      </c>
      <c r="F116" s="2" t="s">
        <v>308</v>
      </c>
      <c r="G116" s="2" t="s">
        <v>108</v>
      </c>
      <c r="H116" s="16">
        <v>8.852</v>
      </c>
      <c r="I116" s="13">
        <v>3.4649062358788973</v>
      </c>
      <c r="J116" s="13">
        <v>1.4796825576140984</v>
      </c>
      <c r="K116" s="14"/>
      <c r="L116" s="13"/>
      <c r="M116" s="13"/>
      <c r="N116" s="15"/>
      <c r="O116" s="16"/>
      <c r="P116" s="13"/>
      <c r="Q116" s="13"/>
      <c r="R116" s="17"/>
      <c r="S116" s="13"/>
      <c r="T116" s="17"/>
      <c r="U116" s="13"/>
      <c r="V116" s="16"/>
      <c r="W116" s="13"/>
      <c r="X116" s="13"/>
      <c r="Y116" s="14"/>
      <c r="Z116" s="2"/>
      <c r="AA116" s="13">
        <f>H116*I116/100</f>
      </c>
      <c r="AB116" s="13">
        <f>H116*J116/100</f>
      </c>
      <c r="AC116" s="15">
        <f>H116*K116</f>
      </c>
      <c r="AD116" s="15">
        <f>H116*M116</f>
      </c>
      <c r="AE116" s="13">
        <f>H116*L116/100</f>
      </c>
      <c r="AF116" s="13">
        <f>AA116+AB116+AE116</f>
      </c>
      <c r="AG116" s="13">
        <f>I116+J116+L116</f>
      </c>
      <c r="AH116" s="18">
        <f>$H116*I116</f>
      </c>
      <c r="AI116" s="18">
        <f>$H116*J116</f>
      </c>
      <c r="AJ116" s="18">
        <f>$H116*K116</f>
      </c>
      <c r="AK116" s="18">
        <f>$H116*L116</f>
      </c>
      <c r="AL116" s="18">
        <f>$H116*M116</f>
      </c>
      <c r="AM116" s="14"/>
      <c r="AN116" s="14"/>
      <c r="AO116" s="14"/>
    </row>
    <row x14ac:dyDescent="0.25" r="117" customHeight="1" ht="17.25">
      <c r="A117" s="2" t="s">
        <v>309</v>
      </c>
      <c r="B117" s="2" t="s">
        <v>95</v>
      </c>
      <c r="C117" s="2" t="s">
        <v>56</v>
      </c>
      <c r="D117" s="2" t="s">
        <v>310</v>
      </c>
      <c r="E117" s="2" t="s">
        <v>52</v>
      </c>
      <c r="F117" s="2" t="s">
        <v>311</v>
      </c>
      <c r="G117" s="2" t="s">
        <v>312</v>
      </c>
      <c r="H117" s="13">
        <v>5.9</v>
      </c>
      <c r="I117" s="13">
        <v>0.6</v>
      </c>
      <c r="J117" s="13"/>
      <c r="K117" s="14">
        <v>110</v>
      </c>
      <c r="L117" s="13"/>
      <c r="M117" s="13"/>
      <c r="N117" s="15"/>
      <c r="O117" s="16"/>
      <c r="P117" s="13"/>
      <c r="Q117" s="13"/>
      <c r="R117" s="17"/>
      <c r="S117" s="13"/>
      <c r="T117" s="17"/>
      <c r="U117" s="13"/>
      <c r="V117" s="16"/>
      <c r="W117" s="13"/>
      <c r="X117" s="13"/>
      <c r="Y117" s="14"/>
      <c r="Z117" s="2"/>
      <c r="AA117" s="13">
        <f>H117*I117/100</f>
      </c>
      <c r="AB117" s="13">
        <f>H117*J117/100</f>
      </c>
      <c r="AC117" s="15">
        <f>H117*K117</f>
      </c>
      <c r="AD117" s="15">
        <f>H117*M117</f>
      </c>
      <c r="AE117" s="13">
        <f>H117*L117/100</f>
      </c>
      <c r="AF117" s="13">
        <f>AA117+AB117+AE117</f>
      </c>
      <c r="AG117" s="13">
        <f>I117+J117+L117</f>
      </c>
      <c r="AH117" s="18">
        <f>$H117*I117</f>
      </c>
      <c r="AI117" s="18">
        <f>$H117*J117</f>
      </c>
      <c r="AJ117" s="18">
        <f>$H117*K117</f>
      </c>
      <c r="AK117" s="18">
        <f>$H117*L117</f>
      </c>
      <c r="AL117" s="18">
        <f>$H117*M117</f>
      </c>
      <c r="AM117" s="14"/>
      <c r="AN117" s="14"/>
      <c r="AO117" s="14"/>
    </row>
    <row x14ac:dyDescent="0.25" r="118" customHeight="1" ht="17.25">
      <c r="A118" s="2" t="s">
        <v>313</v>
      </c>
      <c r="B118" s="2" t="s">
        <v>95</v>
      </c>
      <c r="C118" s="2" t="s">
        <v>50</v>
      </c>
      <c r="D118" s="2"/>
      <c r="E118" s="2" t="s">
        <v>52</v>
      </c>
      <c r="F118" s="2" t="s">
        <v>314</v>
      </c>
      <c r="G118" s="2" t="s">
        <v>106</v>
      </c>
      <c r="H118" s="13">
        <v>2.98</v>
      </c>
      <c r="I118" s="13">
        <v>1.588</v>
      </c>
      <c r="J118" s="13">
        <v>4.94</v>
      </c>
      <c r="K118" s="14">
        <v>15</v>
      </c>
      <c r="L118" s="13"/>
      <c r="M118" s="13"/>
      <c r="N118" s="15"/>
      <c r="O118" s="16"/>
      <c r="P118" s="13"/>
      <c r="Q118" s="13"/>
      <c r="R118" s="17"/>
      <c r="S118" s="13"/>
      <c r="T118" s="17"/>
      <c r="U118" s="13"/>
      <c r="V118" s="16"/>
      <c r="W118" s="13"/>
      <c r="X118" s="13"/>
      <c r="Y118" s="14"/>
      <c r="Z118" s="2"/>
      <c r="AA118" s="13">
        <f>H118*I118/100</f>
      </c>
      <c r="AB118" s="13">
        <f>H118*J118/100</f>
      </c>
      <c r="AC118" s="15">
        <f>H118*K118</f>
      </c>
      <c r="AD118" s="15">
        <f>H118*M118</f>
      </c>
      <c r="AE118" s="13">
        <f>H118*L118/100</f>
      </c>
      <c r="AF118" s="13">
        <f>AA118+AB118+AE118</f>
      </c>
      <c r="AG118" s="13">
        <f>I118+J118+L118</f>
      </c>
      <c r="AH118" s="18">
        <f>$H118*I118</f>
      </c>
      <c r="AI118" s="18">
        <f>$H118*J118</f>
      </c>
      <c r="AJ118" s="18">
        <f>$H118*K118</f>
      </c>
      <c r="AK118" s="18">
        <f>$H118*L118</f>
      </c>
      <c r="AL118" s="18">
        <f>$H118*M118</f>
      </c>
      <c r="AM118" s="14"/>
      <c r="AN118" s="14"/>
      <c r="AO118" s="14"/>
    </row>
    <row x14ac:dyDescent="0.25" r="119" customHeight="1" ht="17.25">
      <c r="A119" s="2" t="s">
        <v>315</v>
      </c>
      <c r="B119" s="2" t="s">
        <v>95</v>
      </c>
      <c r="C119" s="2" t="s">
        <v>50</v>
      </c>
      <c r="D119" s="2"/>
      <c r="E119" s="2" t="s">
        <v>52</v>
      </c>
      <c r="F119" s="2" t="s">
        <v>186</v>
      </c>
      <c r="G119" s="2" t="s">
        <v>108</v>
      </c>
      <c r="H119" s="13">
        <v>0.6800000000000002</v>
      </c>
      <c r="I119" s="15">
        <v>2.45</v>
      </c>
      <c r="J119" s="15">
        <v>4.935294117647058</v>
      </c>
      <c r="K119" s="17">
        <v>78.99999999999999</v>
      </c>
      <c r="L119" s="15">
        <v>1.2058823529411762</v>
      </c>
      <c r="M119" s="15">
        <v>0.688235294117647</v>
      </c>
      <c r="N119" s="15"/>
      <c r="O119" s="16"/>
      <c r="P119" s="13"/>
      <c r="Q119" s="13"/>
      <c r="R119" s="17"/>
      <c r="S119" s="13"/>
      <c r="T119" s="17"/>
      <c r="U119" s="13"/>
      <c r="V119" s="16"/>
      <c r="W119" s="13"/>
      <c r="X119" s="13"/>
      <c r="Y119" s="14"/>
      <c r="Z119" s="2"/>
      <c r="AA119" s="13">
        <f>H119*I119/100</f>
      </c>
      <c r="AB119" s="13">
        <f>H119*J119/100</f>
      </c>
      <c r="AC119" s="15">
        <f>H119*K119</f>
      </c>
      <c r="AD119" s="15">
        <f>H119*M119</f>
      </c>
      <c r="AE119" s="13">
        <f>H119*L119/100</f>
      </c>
      <c r="AF119" s="13">
        <f>AA119+AB119+AE119</f>
      </c>
      <c r="AG119" s="13">
        <f>I119+J119+L119</f>
      </c>
      <c r="AH119" s="18">
        <f>$H119*I119</f>
      </c>
      <c r="AI119" s="18">
        <f>$H119*J119</f>
      </c>
      <c r="AJ119" s="18">
        <f>$H119*K119</f>
      </c>
      <c r="AK119" s="18">
        <f>$H119*L119</f>
      </c>
      <c r="AL119" s="18">
        <f>$H119*M119</f>
      </c>
      <c r="AM119" s="14"/>
      <c r="AN119" s="14"/>
      <c r="AO119" s="14"/>
    </row>
    <row x14ac:dyDescent="0.25" r="120" customHeight="1" ht="17.25">
      <c r="A120" s="2" t="s">
        <v>316</v>
      </c>
      <c r="B120" s="2" t="s">
        <v>95</v>
      </c>
      <c r="C120" s="2" t="s">
        <v>159</v>
      </c>
      <c r="D120" s="2"/>
      <c r="E120" s="2" t="s">
        <v>52</v>
      </c>
      <c r="F120" s="2" t="s">
        <v>206</v>
      </c>
      <c r="G120" s="2" t="s">
        <v>256</v>
      </c>
      <c r="H120" s="13">
        <v>1.59</v>
      </c>
      <c r="I120" s="13">
        <v>0.1</v>
      </c>
      <c r="J120" s="13">
        <v>4.5</v>
      </c>
      <c r="K120" s="14">
        <v>11</v>
      </c>
      <c r="L120" s="13">
        <v>0.6</v>
      </c>
      <c r="M120" s="13"/>
      <c r="N120" s="15"/>
      <c r="O120" s="16"/>
      <c r="P120" s="13"/>
      <c r="Q120" s="13"/>
      <c r="R120" s="17"/>
      <c r="S120" s="13"/>
      <c r="T120" s="17"/>
      <c r="U120" s="13"/>
      <c r="V120" s="16"/>
      <c r="W120" s="13"/>
      <c r="X120" s="13"/>
      <c r="Y120" s="14"/>
      <c r="Z120" s="2"/>
      <c r="AA120" s="13">
        <f>H120*I120/100</f>
      </c>
      <c r="AB120" s="13">
        <f>H120*J120/100</f>
      </c>
      <c r="AC120" s="15">
        <f>H120*K120</f>
      </c>
      <c r="AD120" s="15">
        <f>H120*M120</f>
      </c>
      <c r="AE120" s="13">
        <f>H120*L120/100</f>
      </c>
      <c r="AF120" s="13">
        <f>AA120+AB120+AE120</f>
      </c>
      <c r="AG120" s="13">
        <f>I120+J120+L120</f>
      </c>
      <c r="AH120" s="18">
        <f>$H120*I120</f>
      </c>
      <c r="AI120" s="18">
        <f>$H120*J120</f>
      </c>
      <c r="AJ120" s="18">
        <f>$H120*K120</f>
      </c>
      <c r="AK120" s="18">
        <f>$H120*L120</f>
      </c>
      <c r="AL120" s="18">
        <f>$H120*M120</f>
      </c>
      <c r="AM120" s="14"/>
      <c r="AN120" s="14"/>
      <c r="AO120" s="14"/>
    </row>
    <row x14ac:dyDescent="0.25" r="121" customHeight="1" ht="17.25">
      <c r="A121" s="2" t="s">
        <v>317</v>
      </c>
      <c r="B121" s="2" t="s">
        <v>95</v>
      </c>
      <c r="C121" s="2" t="s">
        <v>50</v>
      </c>
      <c r="D121" s="2"/>
      <c r="E121" s="2" t="s">
        <v>52</v>
      </c>
      <c r="F121" s="2" t="s">
        <v>318</v>
      </c>
      <c r="G121" s="2" t="s">
        <v>103</v>
      </c>
      <c r="H121" s="13">
        <v>1.48</v>
      </c>
      <c r="I121" s="13"/>
      <c r="J121" s="13">
        <v>1.39</v>
      </c>
      <c r="K121" s="13">
        <v>3.31</v>
      </c>
      <c r="L121" s="13">
        <v>1.02</v>
      </c>
      <c r="M121" s="13">
        <v>0.24</v>
      </c>
      <c r="N121" s="15"/>
      <c r="O121" s="16"/>
      <c r="P121" s="13"/>
      <c r="Q121" s="13"/>
      <c r="R121" s="17"/>
      <c r="S121" s="13"/>
      <c r="T121" s="17"/>
      <c r="U121" s="13"/>
      <c r="V121" s="16"/>
      <c r="W121" s="13"/>
      <c r="X121" s="13"/>
      <c r="Y121" s="14"/>
      <c r="Z121" s="2"/>
      <c r="AA121" s="13">
        <f>H121*I121/100</f>
      </c>
      <c r="AB121" s="13">
        <f>H121*J121/100</f>
      </c>
      <c r="AC121" s="15">
        <f>H121*K121</f>
      </c>
      <c r="AD121" s="15">
        <f>H121*M121</f>
      </c>
      <c r="AE121" s="13">
        <f>H121*L121/100</f>
      </c>
      <c r="AF121" s="13">
        <f>AA121+AB121+AE121</f>
      </c>
      <c r="AG121" s="13">
        <f>I121+J121+L121</f>
      </c>
      <c r="AH121" s="18">
        <f>$H121*I121</f>
      </c>
      <c r="AI121" s="18">
        <f>$H121*J121</f>
      </c>
      <c r="AJ121" s="18">
        <f>$H121*K121</f>
      </c>
      <c r="AK121" s="18">
        <f>$H121*L121</f>
      </c>
      <c r="AL121" s="18">
        <f>$H121*M121</f>
      </c>
      <c r="AM121" s="14"/>
      <c r="AN121" s="14"/>
      <c r="AO121" s="14"/>
    </row>
    <row x14ac:dyDescent="0.25" r="122" customHeight="1" ht="17.25">
      <c r="A122" s="2" t="s">
        <v>319</v>
      </c>
      <c r="B122" s="2" t="s">
        <v>95</v>
      </c>
      <c r="C122" s="2" t="s">
        <v>159</v>
      </c>
      <c r="D122" s="2"/>
      <c r="E122" s="2" t="s">
        <v>52</v>
      </c>
      <c r="F122" s="2" t="s">
        <v>206</v>
      </c>
      <c r="G122" s="2" t="s">
        <v>207</v>
      </c>
      <c r="H122" s="13">
        <v>0.9</v>
      </c>
      <c r="I122" s="13">
        <v>0.9</v>
      </c>
      <c r="J122" s="13">
        <v>3.4</v>
      </c>
      <c r="K122" s="15">
        <v>16</v>
      </c>
      <c r="L122" s="13">
        <v>0.2</v>
      </c>
      <c r="M122" s="13"/>
      <c r="N122" s="15"/>
      <c r="O122" s="16"/>
      <c r="P122" s="13"/>
      <c r="Q122" s="13"/>
      <c r="R122" s="17"/>
      <c r="S122" s="13"/>
      <c r="T122" s="17"/>
      <c r="U122" s="13"/>
      <c r="V122" s="16"/>
      <c r="W122" s="13"/>
      <c r="X122" s="13"/>
      <c r="Y122" s="14"/>
      <c r="Z122" s="2"/>
      <c r="AA122" s="13">
        <f>H122*I122/100</f>
      </c>
      <c r="AB122" s="13">
        <f>H122*J122/100</f>
      </c>
      <c r="AC122" s="15">
        <f>H122*K122</f>
      </c>
      <c r="AD122" s="15">
        <f>H122*M122</f>
      </c>
      <c r="AE122" s="13">
        <f>H122*L122/100</f>
      </c>
      <c r="AF122" s="13">
        <f>AA122+AB122+AE122</f>
      </c>
      <c r="AG122" s="13">
        <f>I122+J122+L122</f>
      </c>
      <c r="AH122" s="18">
        <f>$H122*I122</f>
      </c>
      <c r="AI122" s="18">
        <f>$H122*J122</f>
      </c>
      <c r="AJ122" s="18">
        <f>$H122*K122</f>
      </c>
      <c r="AK122" s="18">
        <f>$H122*L122</f>
      </c>
      <c r="AL122" s="18">
        <f>$H122*M122</f>
      </c>
      <c r="AM122" s="14"/>
      <c r="AN122" s="14"/>
      <c r="AO122" s="14"/>
    </row>
    <row x14ac:dyDescent="0.25" r="123" customHeight="1" ht="17.25">
      <c r="A123" s="2" t="s">
        <v>320</v>
      </c>
      <c r="B123" s="2" t="s">
        <v>95</v>
      </c>
      <c r="C123" s="2" t="s">
        <v>56</v>
      </c>
      <c r="D123" s="2" t="s">
        <v>79</v>
      </c>
      <c r="E123" s="2" t="s">
        <v>52</v>
      </c>
      <c r="F123" s="2" t="s">
        <v>321</v>
      </c>
      <c r="G123" s="2" t="s">
        <v>106</v>
      </c>
      <c r="H123" s="13">
        <v>0.131</v>
      </c>
      <c r="I123" s="15">
        <v>1.8854961832061068</v>
      </c>
      <c r="J123" s="13"/>
      <c r="K123" s="15">
        <v>4.580152671755725</v>
      </c>
      <c r="L123" s="15">
        <v>1.3893129770992365</v>
      </c>
      <c r="M123" s="13"/>
      <c r="N123" s="15"/>
      <c r="O123" s="16"/>
      <c r="P123" s="13"/>
      <c r="Q123" s="13"/>
      <c r="R123" s="17"/>
      <c r="S123" s="13"/>
      <c r="T123" s="17"/>
      <c r="U123" s="13"/>
      <c r="V123" s="16"/>
      <c r="W123" s="13"/>
      <c r="X123" s="13"/>
      <c r="Y123" s="14"/>
      <c r="Z123" s="2"/>
      <c r="AA123" s="13">
        <f>H123*I123/100</f>
      </c>
      <c r="AB123" s="13">
        <f>H123*J123/100</f>
      </c>
      <c r="AC123" s="15">
        <f>H123*K123</f>
      </c>
      <c r="AD123" s="15">
        <f>H123*M123</f>
      </c>
      <c r="AE123" s="13">
        <f>H123*L123/100</f>
      </c>
      <c r="AF123" s="13">
        <f>AA123+AB123+AE123</f>
      </c>
      <c r="AG123" s="13">
        <f>I123+J123+L123</f>
      </c>
      <c r="AH123" s="18">
        <f>$H123*I123</f>
      </c>
      <c r="AI123" s="18">
        <f>$H123*J123</f>
      </c>
      <c r="AJ123" s="18">
        <f>$H123*K123</f>
      </c>
      <c r="AK123" s="18">
        <f>$H123*L123</f>
      </c>
      <c r="AL123" s="18">
        <f>$H123*M123</f>
      </c>
      <c r="AM123" s="14"/>
      <c r="AN123" s="14"/>
      <c r="AO123" s="14"/>
    </row>
    <row x14ac:dyDescent="0.25" r="124" customHeight="1" ht="17.25">
      <c r="A124" s="2" t="s">
        <v>322</v>
      </c>
      <c r="B124" s="2" t="s">
        <v>95</v>
      </c>
      <c r="C124" s="2" t="s">
        <v>159</v>
      </c>
      <c r="D124" s="2"/>
      <c r="E124" s="2" t="s">
        <v>52</v>
      </c>
      <c r="F124" s="2" t="s">
        <v>96</v>
      </c>
      <c r="G124" s="2" t="s">
        <v>323</v>
      </c>
      <c r="H124" s="16">
        <v>3.832</v>
      </c>
      <c r="I124" s="13">
        <v>0.19697286012526097</v>
      </c>
      <c r="J124" s="13">
        <v>4.800156576200418</v>
      </c>
      <c r="K124" s="17">
        <v>19.008350730688935</v>
      </c>
      <c r="L124" s="13">
        <v>0.7568893528183716</v>
      </c>
      <c r="M124" s="13">
        <v>0.0644572025052192</v>
      </c>
      <c r="N124" s="15"/>
      <c r="O124" s="16"/>
      <c r="P124" s="13"/>
      <c r="Q124" s="13"/>
      <c r="R124" s="17"/>
      <c r="S124" s="13"/>
      <c r="T124" s="17"/>
      <c r="U124" s="13"/>
      <c r="V124" s="16"/>
      <c r="W124" s="13"/>
      <c r="X124" s="13"/>
      <c r="Y124" s="14"/>
      <c r="Z124" s="2"/>
      <c r="AA124" s="13">
        <f>H124*I124/100</f>
      </c>
      <c r="AB124" s="13">
        <f>H124*J124/100</f>
      </c>
      <c r="AC124" s="15">
        <f>H124*K124</f>
      </c>
      <c r="AD124" s="15">
        <f>H124*M124</f>
      </c>
      <c r="AE124" s="13">
        <f>H124*L124/100</f>
      </c>
      <c r="AF124" s="13">
        <f>AA124+AB124+AE124</f>
      </c>
      <c r="AG124" s="13">
        <f>I124+J124+L124</f>
      </c>
      <c r="AH124" s="18">
        <f>$H124*I124</f>
      </c>
      <c r="AI124" s="18">
        <f>$H124*J124</f>
      </c>
      <c r="AJ124" s="18">
        <f>$H124*K124</f>
      </c>
      <c r="AK124" s="18">
        <f>$H124*L124</f>
      </c>
      <c r="AL124" s="18">
        <f>$H124*M124</f>
      </c>
      <c r="AM124" s="14"/>
      <c r="AN124" s="14"/>
      <c r="AO124" s="14"/>
    </row>
    <row x14ac:dyDescent="0.25" r="125" customHeight="1" ht="17.25">
      <c r="A125" s="2" t="s">
        <v>324</v>
      </c>
      <c r="B125" s="2" t="s">
        <v>95</v>
      </c>
      <c r="C125" s="2" t="s">
        <v>50</v>
      </c>
      <c r="D125" s="2"/>
      <c r="E125" s="2" t="s">
        <v>52</v>
      </c>
      <c r="F125" s="2" t="s">
        <v>154</v>
      </c>
      <c r="G125" s="2" t="s">
        <v>108</v>
      </c>
      <c r="H125" s="13">
        <v>19.1</v>
      </c>
      <c r="I125" s="15">
        <v>3.493717277486912</v>
      </c>
      <c r="J125" s="15">
        <v>11.002094240837696</v>
      </c>
      <c r="K125" s="17">
        <v>121.46596858638742</v>
      </c>
      <c r="L125" s="15">
        <v>0.4172774869109947</v>
      </c>
      <c r="M125" s="15">
        <v>1.7418848167539267</v>
      </c>
      <c r="N125" s="15"/>
      <c r="O125" s="16"/>
      <c r="P125" s="13"/>
      <c r="Q125" s="13"/>
      <c r="R125" s="17"/>
      <c r="S125" s="13"/>
      <c r="T125" s="17"/>
      <c r="U125" s="13"/>
      <c r="V125" s="16"/>
      <c r="W125" s="13"/>
      <c r="X125" s="13"/>
      <c r="Y125" s="14"/>
      <c r="Z125" s="2"/>
      <c r="AA125" s="13">
        <f>H125*I125/100</f>
      </c>
      <c r="AB125" s="13">
        <f>H125*J125/100</f>
      </c>
      <c r="AC125" s="15">
        <f>H125*K125</f>
      </c>
      <c r="AD125" s="15">
        <f>H125*M125</f>
      </c>
      <c r="AE125" s="13">
        <f>H125*L125/100</f>
      </c>
      <c r="AF125" s="13">
        <f>AA125+AB125+AE125</f>
      </c>
      <c r="AG125" s="13">
        <f>I125+J125+L125</f>
      </c>
      <c r="AH125" s="18">
        <f>$H125*I125</f>
      </c>
      <c r="AI125" s="18">
        <f>$H125*J125</f>
      </c>
      <c r="AJ125" s="18">
        <f>$H125*K125</f>
      </c>
      <c r="AK125" s="18">
        <f>$H125*L125</f>
      </c>
      <c r="AL125" s="18">
        <f>$H125*M125</f>
      </c>
      <c r="AM125" s="14"/>
      <c r="AN125" s="14"/>
      <c r="AO125" s="14"/>
    </row>
    <row x14ac:dyDescent="0.25" r="126" customHeight="1" ht="17.25">
      <c r="A126" s="2" t="s">
        <v>325</v>
      </c>
      <c r="B126" s="2" t="s">
        <v>95</v>
      </c>
      <c r="C126" s="2" t="s">
        <v>50</v>
      </c>
      <c r="D126" s="2"/>
      <c r="E126" s="2" t="s">
        <v>52</v>
      </c>
      <c r="F126" s="2" t="s">
        <v>215</v>
      </c>
      <c r="G126" s="2" t="s">
        <v>108</v>
      </c>
      <c r="H126" s="13">
        <v>1.003</v>
      </c>
      <c r="I126" s="13">
        <v>2.1</v>
      </c>
      <c r="J126" s="15">
        <v>7</v>
      </c>
      <c r="K126" s="15">
        <v>52</v>
      </c>
      <c r="L126" s="15">
        <v>2</v>
      </c>
      <c r="M126" s="13">
        <v>0.3</v>
      </c>
      <c r="N126" s="15"/>
      <c r="O126" s="16"/>
      <c r="P126" s="13"/>
      <c r="Q126" s="13"/>
      <c r="R126" s="17"/>
      <c r="S126" s="13"/>
      <c r="T126" s="17"/>
      <c r="U126" s="13"/>
      <c r="V126" s="16"/>
      <c r="W126" s="13"/>
      <c r="X126" s="13"/>
      <c r="Y126" s="14"/>
      <c r="Z126" s="2"/>
      <c r="AA126" s="13">
        <f>H126*I126/100</f>
      </c>
      <c r="AB126" s="13">
        <f>H126*J126/100</f>
      </c>
      <c r="AC126" s="15">
        <f>H126*K126</f>
      </c>
      <c r="AD126" s="15">
        <f>H126*M126</f>
      </c>
      <c r="AE126" s="13">
        <f>H126*L126/100</f>
      </c>
      <c r="AF126" s="13">
        <f>AA126+AB126+AE126</f>
      </c>
      <c r="AG126" s="13">
        <f>I126+J126+L126</f>
      </c>
      <c r="AH126" s="18">
        <f>$H126*I126</f>
      </c>
      <c r="AI126" s="18">
        <f>$H126*J126</f>
      </c>
      <c r="AJ126" s="18">
        <f>$H126*K126</f>
      </c>
      <c r="AK126" s="18">
        <f>$H126*L126</f>
      </c>
      <c r="AL126" s="18">
        <f>$H126*M126</f>
      </c>
      <c r="AM126" s="14"/>
      <c r="AN126" s="14"/>
      <c r="AO126" s="14"/>
    </row>
    <row x14ac:dyDescent="0.25" r="127" customHeight="1" ht="17.25">
      <c r="A127" s="2" t="s">
        <v>326</v>
      </c>
      <c r="B127" s="2" t="s">
        <v>95</v>
      </c>
      <c r="C127" s="2" t="s">
        <v>50</v>
      </c>
      <c r="D127" s="2"/>
      <c r="E127" s="2" t="s">
        <v>52</v>
      </c>
      <c r="F127" s="2" t="s">
        <v>302</v>
      </c>
      <c r="G127" s="2" t="s">
        <v>97</v>
      </c>
      <c r="H127" s="13">
        <v>3.53</v>
      </c>
      <c r="I127" s="13"/>
      <c r="J127" s="13">
        <v>4.050991501416431</v>
      </c>
      <c r="K127" s="17">
        <v>19.416430594900852</v>
      </c>
      <c r="L127" s="13">
        <v>1.6297450424929176</v>
      </c>
      <c r="M127" s="13">
        <v>0.26974504249291786</v>
      </c>
      <c r="N127" s="15"/>
      <c r="O127" s="16"/>
      <c r="P127" s="13"/>
      <c r="Q127" s="13"/>
      <c r="R127" s="17"/>
      <c r="S127" s="13"/>
      <c r="T127" s="17"/>
      <c r="U127" s="13"/>
      <c r="V127" s="16"/>
      <c r="W127" s="13"/>
      <c r="X127" s="13"/>
      <c r="Y127" s="14"/>
      <c r="Z127" s="2"/>
      <c r="AA127" s="13">
        <f>H127*I127/100</f>
      </c>
      <c r="AB127" s="13">
        <f>H127*J127/100</f>
      </c>
      <c r="AC127" s="15">
        <f>H127*K127</f>
      </c>
      <c r="AD127" s="15">
        <f>H127*M127</f>
      </c>
      <c r="AE127" s="13">
        <f>H127*L127/100</f>
      </c>
      <c r="AF127" s="13">
        <f>AA127+AB127+AE127</f>
      </c>
      <c r="AG127" s="13">
        <f>I127+J127+L127</f>
      </c>
      <c r="AH127" s="18">
        <f>$H127*I127</f>
      </c>
      <c r="AI127" s="18">
        <f>$H127*J127</f>
      </c>
      <c r="AJ127" s="18">
        <f>$H127*K127</f>
      </c>
      <c r="AK127" s="18">
        <f>$H127*L127</f>
      </c>
      <c r="AL127" s="18">
        <f>$H127*M127</f>
      </c>
      <c r="AM127" s="14"/>
      <c r="AN127" s="14"/>
      <c r="AO127" s="14"/>
    </row>
    <row x14ac:dyDescent="0.25" r="128" customHeight="1" ht="17.25">
      <c r="A128" s="2" t="s">
        <v>327</v>
      </c>
      <c r="B128" s="2" t="s">
        <v>95</v>
      </c>
      <c r="C128" s="2" t="s">
        <v>40</v>
      </c>
      <c r="D128" s="2"/>
      <c r="E128" s="2" t="s">
        <v>52</v>
      </c>
      <c r="F128" s="2" t="s">
        <v>328</v>
      </c>
      <c r="G128" s="2" t="s">
        <v>103</v>
      </c>
      <c r="H128" s="13">
        <v>24.381</v>
      </c>
      <c r="I128" s="13">
        <v>0.45</v>
      </c>
      <c r="J128" s="13">
        <v>1.81</v>
      </c>
      <c r="K128" s="13">
        <v>4.57</v>
      </c>
      <c r="L128" s="13"/>
      <c r="M128" s="13"/>
      <c r="N128" s="15"/>
      <c r="O128" s="16"/>
      <c r="P128" s="13"/>
      <c r="Q128" s="13"/>
      <c r="R128" s="17"/>
      <c r="S128" s="13"/>
      <c r="T128" s="17"/>
      <c r="U128" s="13"/>
      <c r="V128" s="16"/>
      <c r="W128" s="13"/>
      <c r="X128" s="13"/>
      <c r="Y128" s="14"/>
      <c r="Z128" s="2"/>
      <c r="AA128" s="13">
        <f>H128*I128/100</f>
      </c>
      <c r="AB128" s="13">
        <f>H128*J128/100</f>
      </c>
      <c r="AC128" s="15">
        <f>H128*K128</f>
      </c>
      <c r="AD128" s="15">
        <f>H128*M128</f>
      </c>
      <c r="AE128" s="13">
        <f>H128*L128/100</f>
      </c>
      <c r="AF128" s="13">
        <f>AA128+AB128+AE128</f>
      </c>
      <c r="AG128" s="13">
        <f>I128+J128+L128</f>
      </c>
      <c r="AH128" s="18">
        <f>$H128*I128</f>
      </c>
      <c r="AI128" s="18">
        <f>$H128*J128</f>
      </c>
      <c r="AJ128" s="18">
        <f>$H128*K128</f>
      </c>
      <c r="AK128" s="18">
        <f>$H128*L128</f>
      </c>
      <c r="AL128" s="18">
        <f>$H128*M128</f>
      </c>
      <c r="AM128" s="14"/>
      <c r="AN128" s="14"/>
      <c r="AO128" s="14"/>
    </row>
    <row x14ac:dyDescent="0.25" r="129" customHeight="1" ht="17.25">
      <c r="A129" s="2" t="s">
        <v>329</v>
      </c>
      <c r="B129" s="2" t="s">
        <v>95</v>
      </c>
      <c r="C129" s="2" t="s">
        <v>40</v>
      </c>
      <c r="D129" s="2" t="s">
        <v>64</v>
      </c>
      <c r="E129" s="2" t="s">
        <v>52</v>
      </c>
      <c r="F129" s="2" t="s">
        <v>154</v>
      </c>
      <c r="G129" s="2" t="s">
        <v>103</v>
      </c>
      <c r="H129" s="13">
        <v>1.6</v>
      </c>
      <c r="I129" s="13">
        <v>13.9</v>
      </c>
      <c r="J129" s="13">
        <v>5.1</v>
      </c>
      <c r="K129" s="14">
        <v>157</v>
      </c>
      <c r="L129" s="13"/>
      <c r="M129" s="13"/>
      <c r="N129" s="15"/>
      <c r="O129" s="16"/>
      <c r="P129" s="13"/>
      <c r="Q129" s="13"/>
      <c r="R129" s="17"/>
      <c r="S129" s="13"/>
      <c r="T129" s="17"/>
      <c r="U129" s="13"/>
      <c r="V129" s="16"/>
      <c r="W129" s="13"/>
      <c r="X129" s="13"/>
      <c r="Y129" s="14"/>
      <c r="Z129" s="2"/>
      <c r="AA129" s="13">
        <f>H129*I129/100</f>
      </c>
      <c r="AB129" s="13">
        <f>H129*J129/100</f>
      </c>
      <c r="AC129" s="15">
        <f>H129*K129</f>
      </c>
      <c r="AD129" s="15">
        <f>H129*M129</f>
      </c>
      <c r="AE129" s="13">
        <f>H129*L129/100</f>
      </c>
      <c r="AF129" s="13">
        <f>AA129+AB129+AE129</f>
      </c>
      <c r="AG129" s="13">
        <f>I129+J129+L129</f>
      </c>
      <c r="AH129" s="18">
        <f>$H129*I129</f>
      </c>
      <c r="AI129" s="18">
        <f>$H129*J129</f>
      </c>
      <c r="AJ129" s="18">
        <f>$H129*K129</f>
      </c>
      <c r="AK129" s="18">
        <f>$H129*L129</f>
      </c>
      <c r="AL129" s="18">
        <f>$H129*M129</f>
      </c>
      <c r="AM129" s="14"/>
      <c r="AN129" s="14"/>
      <c r="AO129" s="14"/>
    </row>
    <row x14ac:dyDescent="0.25" r="130" customHeight="1" ht="17.25">
      <c r="A130" s="2" t="s">
        <v>330</v>
      </c>
      <c r="B130" s="2" t="s">
        <v>95</v>
      </c>
      <c r="C130" s="2" t="s">
        <v>40</v>
      </c>
      <c r="D130" s="2" t="s">
        <v>41</v>
      </c>
      <c r="E130" s="2" t="s">
        <v>52</v>
      </c>
      <c r="F130" s="2" t="s">
        <v>304</v>
      </c>
      <c r="G130" s="2" t="s">
        <v>108</v>
      </c>
      <c r="H130" s="13">
        <v>16.7</v>
      </c>
      <c r="I130" s="13">
        <v>4.5</v>
      </c>
      <c r="J130" s="13">
        <v>0.7</v>
      </c>
      <c r="K130" s="14">
        <v>52</v>
      </c>
      <c r="L130" s="13"/>
      <c r="M130" s="13"/>
      <c r="N130" s="15"/>
      <c r="O130" s="16"/>
      <c r="P130" s="13"/>
      <c r="Q130" s="13"/>
      <c r="R130" s="17"/>
      <c r="S130" s="13"/>
      <c r="T130" s="17"/>
      <c r="U130" s="13"/>
      <c r="V130" s="16"/>
      <c r="W130" s="13"/>
      <c r="X130" s="13"/>
      <c r="Y130" s="14"/>
      <c r="Z130" s="2"/>
      <c r="AA130" s="13">
        <f>H130*I130/100</f>
      </c>
      <c r="AB130" s="13">
        <f>H130*J130/100</f>
      </c>
      <c r="AC130" s="15">
        <f>H130*K130</f>
      </c>
      <c r="AD130" s="15">
        <f>H130*M130</f>
      </c>
      <c r="AE130" s="13">
        <f>H130*L130/100</f>
      </c>
      <c r="AF130" s="13">
        <f>AA130+AB130+AE130</f>
      </c>
      <c r="AG130" s="13">
        <f>I130+J130+L130</f>
      </c>
      <c r="AH130" s="18">
        <f>$H130*I130</f>
      </c>
      <c r="AI130" s="18">
        <f>$H130*J130</f>
      </c>
      <c r="AJ130" s="18">
        <f>$H130*K130</f>
      </c>
      <c r="AK130" s="18">
        <f>$H130*L130</f>
      </c>
      <c r="AL130" s="18">
        <f>$H130*M130</f>
      </c>
      <c r="AM130" s="14"/>
      <c r="AN130" s="14"/>
      <c r="AO130" s="14"/>
    </row>
    <row x14ac:dyDescent="0.25" r="131" customHeight="1" ht="17.25">
      <c r="A131" s="2" t="s">
        <v>331</v>
      </c>
      <c r="B131" s="2" t="s">
        <v>95</v>
      </c>
      <c r="C131" s="2" t="s">
        <v>50</v>
      </c>
      <c r="D131" s="2"/>
      <c r="E131" s="2" t="s">
        <v>52</v>
      </c>
      <c r="F131" s="2" t="s">
        <v>124</v>
      </c>
      <c r="G131" s="2" t="s">
        <v>108</v>
      </c>
      <c r="H131" s="13">
        <v>13.986</v>
      </c>
      <c r="I131" s="20">
        <v>0.6515151515151514</v>
      </c>
      <c r="J131" s="15">
        <v>4</v>
      </c>
      <c r="K131" s="14">
        <v>40</v>
      </c>
      <c r="L131" s="15">
        <v>2</v>
      </c>
      <c r="M131" s="13">
        <v>1.1</v>
      </c>
      <c r="N131" s="15"/>
      <c r="O131" s="16"/>
      <c r="P131" s="13"/>
      <c r="Q131" s="13"/>
      <c r="R131" s="17"/>
      <c r="S131" s="13"/>
      <c r="T131" s="17"/>
      <c r="U131" s="13"/>
      <c r="V131" s="16"/>
      <c r="W131" s="13"/>
      <c r="X131" s="13"/>
      <c r="Y131" s="14"/>
      <c r="Z131" s="2"/>
      <c r="AA131" s="13">
        <f>H131*I131/100</f>
      </c>
      <c r="AB131" s="13">
        <f>H131*J131/100</f>
      </c>
      <c r="AC131" s="15">
        <f>H131*K131</f>
      </c>
      <c r="AD131" s="15">
        <f>H131*M131</f>
      </c>
      <c r="AE131" s="13">
        <f>H131*L131/100</f>
      </c>
      <c r="AF131" s="13">
        <f>AA131+AB131+AE131</f>
      </c>
      <c r="AG131" s="13">
        <f>I131+J131+L131</f>
      </c>
      <c r="AH131" s="18">
        <f>$H131*I131</f>
      </c>
      <c r="AI131" s="18">
        <f>$H131*J131</f>
      </c>
      <c r="AJ131" s="18">
        <f>$H131*K131</f>
      </c>
      <c r="AK131" s="18">
        <f>$H131*L131</f>
      </c>
      <c r="AL131" s="18">
        <f>$H131*M131</f>
      </c>
      <c r="AM131" s="14"/>
      <c r="AN131" s="14"/>
      <c r="AO131" s="14"/>
    </row>
    <row x14ac:dyDescent="0.25" r="132" customHeight="1" ht="17.25">
      <c r="A132" s="2" t="s">
        <v>332</v>
      </c>
      <c r="B132" s="2" t="s">
        <v>95</v>
      </c>
      <c r="C132" s="2" t="s">
        <v>50</v>
      </c>
      <c r="D132" s="2"/>
      <c r="E132" s="2" t="s">
        <v>52</v>
      </c>
      <c r="F132" s="2" t="s">
        <v>215</v>
      </c>
      <c r="G132" s="2" t="s">
        <v>108</v>
      </c>
      <c r="H132" s="13">
        <v>12.831</v>
      </c>
      <c r="I132" s="13">
        <v>0.2</v>
      </c>
      <c r="J132" s="13">
        <v>4.1</v>
      </c>
      <c r="K132" s="13">
        <v>17.6</v>
      </c>
      <c r="L132" s="13">
        <v>1.5</v>
      </c>
      <c r="M132" s="13">
        <v>0.1</v>
      </c>
      <c r="N132" s="15"/>
      <c r="O132" s="16"/>
      <c r="P132" s="13"/>
      <c r="Q132" s="13"/>
      <c r="R132" s="17"/>
      <c r="S132" s="13"/>
      <c r="T132" s="17"/>
      <c r="U132" s="13"/>
      <c r="V132" s="16"/>
      <c r="W132" s="13"/>
      <c r="X132" s="13"/>
      <c r="Y132" s="14"/>
      <c r="Z132" s="2"/>
      <c r="AA132" s="13">
        <f>H132*I132/100</f>
      </c>
      <c r="AB132" s="13">
        <f>H132*J132/100</f>
      </c>
      <c r="AC132" s="15">
        <f>H132*K132</f>
      </c>
      <c r="AD132" s="15">
        <f>H132*M132</f>
      </c>
      <c r="AE132" s="13">
        <f>H132*L132/100</f>
      </c>
      <c r="AF132" s="13">
        <f>AA132+AB132+AE132</f>
      </c>
      <c r="AG132" s="13">
        <f>I132+J132+L132</f>
      </c>
      <c r="AH132" s="18">
        <f>$H132*I132</f>
      </c>
      <c r="AI132" s="18">
        <f>$H132*J132</f>
      </c>
      <c r="AJ132" s="18">
        <f>$H132*K132</f>
      </c>
      <c r="AK132" s="18">
        <f>$H132*L132</f>
      </c>
      <c r="AL132" s="18">
        <f>$H132*M132</f>
      </c>
      <c r="AM132" s="14"/>
      <c r="AN132" s="14"/>
      <c r="AO132" s="14"/>
    </row>
    <row x14ac:dyDescent="0.25" r="133" customHeight="1" ht="17.25">
      <c r="A133" s="2" t="s">
        <v>333</v>
      </c>
      <c r="B133" s="2" t="s">
        <v>95</v>
      </c>
      <c r="C133" s="2" t="s">
        <v>50</v>
      </c>
      <c r="D133" s="2"/>
      <c r="E133" s="2" t="s">
        <v>52</v>
      </c>
      <c r="F133" s="2" t="s">
        <v>220</v>
      </c>
      <c r="G133" s="2" t="s">
        <v>108</v>
      </c>
      <c r="H133" s="13">
        <v>1.5</v>
      </c>
      <c r="I133" s="13">
        <v>2.1</v>
      </c>
      <c r="J133" s="13">
        <v>3.7</v>
      </c>
      <c r="K133" s="14">
        <v>24</v>
      </c>
      <c r="L133" s="13">
        <v>0.4</v>
      </c>
      <c r="M133" s="13">
        <v>0.3</v>
      </c>
      <c r="N133" s="15"/>
      <c r="O133" s="16"/>
      <c r="P133" s="13"/>
      <c r="Q133" s="13"/>
      <c r="R133" s="17"/>
      <c r="S133" s="13"/>
      <c r="T133" s="17"/>
      <c r="U133" s="13"/>
      <c r="V133" s="16"/>
      <c r="W133" s="13"/>
      <c r="X133" s="13"/>
      <c r="Y133" s="14"/>
      <c r="Z133" s="2"/>
      <c r="AA133" s="13">
        <f>H133*I133/100</f>
      </c>
      <c r="AB133" s="13">
        <f>H133*J133/100</f>
      </c>
      <c r="AC133" s="15">
        <f>H133*K133</f>
      </c>
      <c r="AD133" s="15">
        <f>H133*M133</f>
      </c>
      <c r="AE133" s="13">
        <f>H133*L133/100</f>
      </c>
      <c r="AF133" s="13">
        <f>AA133+AB133+AE133</f>
      </c>
      <c r="AG133" s="13">
        <f>I133+J133+L133</f>
      </c>
      <c r="AH133" s="18">
        <f>$H133*I133</f>
      </c>
      <c r="AI133" s="18">
        <f>$H133*J133</f>
      </c>
      <c r="AJ133" s="18">
        <f>$H133*K133</f>
      </c>
      <c r="AK133" s="18">
        <f>$H133*L133</f>
      </c>
      <c r="AL133" s="18">
        <f>$H133*M133</f>
      </c>
      <c r="AM133" s="14"/>
      <c r="AN133" s="14"/>
      <c r="AO133" s="14"/>
    </row>
    <row x14ac:dyDescent="0.25" r="134" customHeight="1" ht="17.25">
      <c r="A134" s="2" t="s">
        <v>334</v>
      </c>
      <c r="B134" s="2" t="s">
        <v>95</v>
      </c>
      <c r="C134" s="2" t="s">
        <v>40</v>
      </c>
      <c r="D134" s="2" t="s">
        <v>41</v>
      </c>
      <c r="E134" s="2" t="s">
        <v>52</v>
      </c>
      <c r="F134" s="2" t="s">
        <v>335</v>
      </c>
      <c r="G134" s="2" t="s">
        <v>151</v>
      </c>
      <c r="H134" s="16">
        <v>0.2876</v>
      </c>
      <c r="I134" s="13">
        <v>1.5</v>
      </c>
      <c r="J134" s="13">
        <v>2.8</v>
      </c>
      <c r="K134" s="14">
        <v>31</v>
      </c>
      <c r="L134" s="13"/>
      <c r="M134" s="13"/>
      <c r="N134" s="15"/>
      <c r="O134" s="16"/>
      <c r="P134" s="13"/>
      <c r="Q134" s="13"/>
      <c r="R134" s="17"/>
      <c r="S134" s="13"/>
      <c r="T134" s="17"/>
      <c r="U134" s="13"/>
      <c r="V134" s="16"/>
      <c r="W134" s="13"/>
      <c r="X134" s="13"/>
      <c r="Y134" s="14"/>
      <c r="Z134" s="2"/>
      <c r="AA134" s="13">
        <f>H134*I134/100</f>
      </c>
      <c r="AB134" s="13">
        <f>H134*J134/100</f>
      </c>
      <c r="AC134" s="15">
        <f>H134*K134</f>
      </c>
      <c r="AD134" s="15">
        <f>H134*M134</f>
      </c>
      <c r="AE134" s="13">
        <f>H134*L134/100</f>
      </c>
      <c r="AF134" s="13">
        <f>AA134+AB134+AE134</f>
      </c>
      <c r="AG134" s="13">
        <f>I134+J134+L134</f>
      </c>
      <c r="AH134" s="18">
        <f>$H134*I134</f>
      </c>
      <c r="AI134" s="18">
        <f>$H134*J134</f>
      </c>
      <c r="AJ134" s="18">
        <f>$H134*K134</f>
      </c>
      <c r="AK134" s="18">
        <f>$H134*L134</f>
      </c>
      <c r="AL134" s="18">
        <f>$H134*M134</f>
      </c>
      <c r="AM134" s="14"/>
      <c r="AN134" s="14"/>
      <c r="AO134" s="14"/>
    </row>
    <row x14ac:dyDescent="0.25" r="135" customHeight="1" ht="17.25">
      <c r="A135" s="2" t="s">
        <v>336</v>
      </c>
      <c r="B135" s="2" t="s">
        <v>95</v>
      </c>
      <c r="C135" s="2" t="s">
        <v>40</v>
      </c>
      <c r="D135" s="2" t="s">
        <v>64</v>
      </c>
      <c r="E135" s="2" t="s">
        <v>52</v>
      </c>
      <c r="F135" s="2" t="s">
        <v>57</v>
      </c>
      <c r="G135" s="2" t="s">
        <v>108</v>
      </c>
      <c r="H135" s="13">
        <v>0.3756</v>
      </c>
      <c r="I135" s="13">
        <v>1.6</v>
      </c>
      <c r="J135" s="13">
        <v>3.8</v>
      </c>
      <c r="K135" s="14">
        <v>15</v>
      </c>
      <c r="L135" s="13"/>
      <c r="M135" s="13"/>
      <c r="N135" s="15"/>
      <c r="O135" s="16"/>
      <c r="P135" s="13"/>
      <c r="Q135" s="13"/>
      <c r="R135" s="17"/>
      <c r="S135" s="13"/>
      <c r="T135" s="17"/>
      <c r="U135" s="13"/>
      <c r="V135" s="16"/>
      <c r="W135" s="13"/>
      <c r="X135" s="13"/>
      <c r="Y135" s="14"/>
      <c r="Z135" s="2"/>
      <c r="AA135" s="13">
        <f>H135*I135/100</f>
      </c>
      <c r="AB135" s="13">
        <f>H135*J135/100</f>
      </c>
      <c r="AC135" s="15">
        <f>H135*K135</f>
      </c>
      <c r="AD135" s="15">
        <f>H135*M135</f>
      </c>
      <c r="AE135" s="13">
        <f>H135*L135/100</f>
      </c>
      <c r="AF135" s="13">
        <f>AA135+AB135+AE135</f>
      </c>
      <c r="AG135" s="13">
        <f>I135+J135+L135</f>
      </c>
      <c r="AH135" s="18">
        <f>$H135*I135</f>
      </c>
      <c r="AI135" s="18">
        <f>$H135*J135</f>
      </c>
      <c r="AJ135" s="18">
        <f>$H135*K135</f>
      </c>
      <c r="AK135" s="18">
        <f>$H135*L135</f>
      </c>
      <c r="AL135" s="18">
        <f>$H135*M135</f>
      </c>
      <c r="AM135" s="14"/>
      <c r="AN135" s="14"/>
      <c r="AO135" s="14"/>
    </row>
    <row x14ac:dyDescent="0.25" r="136" customHeight="1" ht="17.25">
      <c r="A136" s="2" t="s">
        <v>337</v>
      </c>
      <c r="B136" s="2" t="s">
        <v>95</v>
      </c>
      <c r="C136" s="2" t="s">
        <v>338</v>
      </c>
      <c r="D136" s="2"/>
      <c r="E136" s="2" t="s">
        <v>52</v>
      </c>
      <c r="F136" s="2" t="s">
        <v>339</v>
      </c>
      <c r="G136" s="2" t="s">
        <v>340</v>
      </c>
      <c r="H136" s="13">
        <v>0.733</v>
      </c>
      <c r="I136" s="13">
        <v>0.9</v>
      </c>
      <c r="J136" s="13">
        <v>0.83</v>
      </c>
      <c r="K136" s="14">
        <v>49</v>
      </c>
      <c r="L136" s="13">
        <v>0.1</v>
      </c>
      <c r="M136" s="13">
        <v>0.06</v>
      </c>
      <c r="N136" s="15"/>
      <c r="O136" s="16"/>
      <c r="P136" s="13"/>
      <c r="Q136" s="13"/>
      <c r="R136" s="17"/>
      <c r="S136" s="13"/>
      <c r="T136" s="17"/>
      <c r="U136" s="13"/>
      <c r="V136" s="16"/>
      <c r="W136" s="13"/>
      <c r="X136" s="13"/>
      <c r="Y136" s="14"/>
      <c r="Z136" s="2"/>
      <c r="AA136" s="13">
        <f>H136*I136/100</f>
      </c>
      <c r="AB136" s="13">
        <f>H136*J136/100</f>
      </c>
      <c r="AC136" s="15">
        <f>H136*K136</f>
      </c>
      <c r="AD136" s="15">
        <f>H136*M136</f>
      </c>
      <c r="AE136" s="13">
        <f>H136*L136/100</f>
      </c>
      <c r="AF136" s="13">
        <f>AA136+AB136+AE136</f>
      </c>
      <c r="AG136" s="13">
        <f>I136+J136+L136</f>
      </c>
      <c r="AH136" s="18">
        <f>$H136*I136</f>
      </c>
      <c r="AI136" s="18">
        <f>$H136*J136</f>
      </c>
      <c r="AJ136" s="18">
        <f>$H136*K136</f>
      </c>
      <c r="AK136" s="18">
        <f>$H136*L136</f>
      </c>
      <c r="AL136" s="18">
        <f>$H136*M136</f>
      </c>
      <c r="AM136" s="14"/>
      <c r="AN136" s="14"/>
      <c r="AO136" s="14"/>
    </row>
    <row x14ac:dyDescent="0.25" r="137" customHeight="1" ht="17.25">
      <c r="A137" s="2" t="s">
        <v>341</v>
      </c>
      <c r="B137" s="2" t="s">
        <v>95</v>
      </c>
      <c r="C137" s="2" t="s">
        <v>40</v>
      </c>
      <c r="D137" s="2" t="s">
        <v>64</v>
      </c>
      <c r="E137" s="2" t="s">
        <v>52</v>
      </c>
      <c r="F137" s="2" t="s">
        <v>284</v>
      </c>
      <c r="G137" s="2" t="s">
        <v>342</v>
      </c>
      <c r="H137" s="14">
        <v>58</v>
      </c>
      <c r="I137" s="13">
        <v>1.6</v>
      </c>
      <c r="J137" s="13">
        <v>11.1</v>
      </c>
      <c r="K137" s="14"/>
      <c r="L137" s="13"/>
      <c r="M137" s="13"/>
      <c r="N137" s="15"/>
      <c r="O137" s="16"/>
      <c r="P137" s="13"/>
      <c r="Q137" s="13"/>
      <c r="R137" s="17"/>
      <c r="S137" s="13"/>
      <c r="T137" s="17"/>
      <c r="U137" s="13"/>
      <c r="V137" s="16"/>
      <c r="W137" s="13"/>
      <c r="X137" s="13"/>
      <c r="Y137" s="14"/>
      <c r="Z137" s="2"/>
      <c r="AA137" s="13">
        <f>H137*I137/100</f>
      </c>
      <c r="AB137" s="13">
        <f>H137*J137/100</f>
      </c>
      <c r="AC137" s="15">
        <f>H137*K137</f>
      </c>
      <c r="AD137" s="15">
        <f>H137*M137</f>
      </c>
      <c r="AE137" s="13">
        <f>H137*L137/100</f>
      </c>
      <c r="AF137" s="13">
        <f>AA137+AB137+AE137</f>
      </c>
      <c r="AG137" s="13">
        <f>I137+J137+L137</f>
      </c>
      <c r="AH137" s="18">
        <f>$H137*I137</f>
      </c>
      <c r="AI137" s="18">
        <f>$H137*J137</f>
      </c>
      <c r="AJ137" s="18">
        <f>$H137*K137</f>
      </c>
      <c r="AK137" s="18">
        <f>$H137*L137</f>
      </c>
      <c r="AL137" s="18">
        <f>$H137*M137</f>
      </c>
      <c r="AM137" s="14"/>
      <c r="AN137" s="14"/>
      <c r="AO137" s="14"/>
    </row>
    <row x14ac:dyDescent="0.25" r="138" customHeight="1" ht="17.25">
      <c r="A138" s="2" t="s">
        <v>343</v>
      </c>
      <c r="B138" s="2" t="s">
        <v>95</v>
      </c>
      <c r="C138" s="2" t="s">
        <v>50</v>
      </c>
      <c r="D138" s="2"/>
      <c r="E138" s="2" t="s">
        <v>52</v>
      </c>
      <c r="F138" s="2" t="s">
        <v>124</v>
      </c>
      <c r="G138" s="2" t="s">
        <v>108</v>
      </c>
      <c r="H138" s="13">
        <v>1.554</v>
      </c>
      <c r="I138" s="13"/>
      <c r="J138" s="13">
        <v>2.5</v>
      </c>
      <c r="K138" s="14">
        <v>49</v>
      </c>
      <c r="L138" s="13">
        <v>1.6</v>
      </c>
      <c r="M138" s="13"/>
      <c r="N138" s="15"/>
      <c r="O138" s="16"/>
      <c r="P138" s="13"/>
      <c r="Q138" s="13"/>
      <c r="R138" s="17"/>
      <c r="S138" s="13"/>
      <c r="T138" s="17"/>
      <c r="U138" s="13"/>
      <c r="V138" s="16"/>
      <c r="W138" s="13"/>
      <c r="X138" s="13"/>
      <c r="Y138" s="14"/>
      <c r="Z138" s="2"/>
      <c r="AA138" s="13">
        <f>H138*I138/100</f>
      </c>
      <c r="AB138" s="13">
        <f>H138*J138/100</f>
      </c>
      <c r="AC138" s="15">
        <f>H138*K138</f>
      </c>
      <c r="AD138" s="15">
        <f>H138*M138</f>
      </c>
      <c r="AE138" s="13">
        <f>H138*L138/100</f>
      </c>
      <c r="AF138" s="13">
        <f>AA138+AB138+AE138</f>
      </c>
      <c r="AG138" s="13">
        <f>I138+J138+L138</f>
      </c>
      <c r="AH138" s="18">
        <f>$H138*I138</f>
      </c>
      <c r="AI138" s="18">
        <f>$H138*J138</f>
      </c>
      <c r="AJ138" s="18">
        <f>$H138*K138</f>
      </c>
      <c r="AK138" s="18">
        <f>$H138*L138</f>
      </c>
      <c r="AL138" s="18">
        <f>$H138*M138</f>
      </c>
      <c r="AM138" s="14"/>
      <c r="AN138" s="14"/>
      <c r="AO138" s="14"/>
    </row>
    <row x14ac:dyDescent="0.25" r="139" customHeight="1" ht="17.25">
      <c r="A139" s="2" t="s">
        <v>344</v>
      </c>
      <c r="B139" s="2" t="s">
        <v>95</v>
      </c>
      <c r="C139" s="2" t="s">
        <v>50</v>
      </c>
      <c r="D139" s="2"/>
      <c r="E139" s="2" t="s">
        <v>52</v>
      </c>
      <c r="F139" s="2" t="s">
        <v>96</v>
      </c>
      <c r="G139" s="2" t="s">
        <v>97</v>
      </c>
      <c r="H139" s="16">
        <v>4.1713</v>
      </c>
      <c r="I139" s="13">
        <v>2.2525783328938225</v>
      </c>
      <c r="J139" s="13">
        <v>7.927348788147582</v>
      </c>
      <c r="K139" s="15">
        <v>41.364083139548825</v>
      </c>
      <c r="L139" s="13">
        <v>0.9349075827679622</v>
      </c>
      <c r="M139" s="13">
        <v>0.5655742813990843</v>
      </c>
      <c r="N139" s="15"/>
      <c r="O139" s="16"/>
      <c r="P139" s="13"/>
      <c r="Q139" s="13"/>
      <c r="R139" s="17"/>
      <c r="S139" s="13"/>
      <c r="T139" s="17"/>
      <c r="U139" s="13"/>
      <c r="V139" s="16"/>
      <c r="W139" s="13"/>
      <c r="X139" s="13"/>
      <c r="Y139" s="14"/>
      <c r="Z139" s="2"/>
      <c r="AA139" s="13">
        <f>H139*I139/100</f>
      </c>
      <c r="AB139" s="13">
        <f>H139*J139/100</f>
      </c>
      <c r="AC139" s="15">
        <f>H139*K139</f>
      </c>
      <c r="AD139" s="15">
        <f>H139*M139</f>
      </c>
      <c r="AE139" s="13">
        <f>H139*L139/100</f>
      </c>
      <c r="AF139" s="13">
        <f>AA139+AB139+AE139</f>
      </c>
      <c r="AG139" s="13">
        <f>I139+J139+L139</f>
      </c>
      <c r="AH139" s="18">
        <f>$H139*I139</f>
      </c>
      <c r="AI139" s="18">
        <f>$H139*J139</f>
      </c>
      <c r="AJ139" s="18">
        <f>$H139*K139</f>
      </c>
      <c r="AK139" s="18">
        <f>$H139*L139</f>
      </c>
      <c r="AL139" s="18">
        <f>$H139*M139</f>
      </c>
      <c r="AM139" s="14"/>
      <c r="AN139" s="14"/>
      <c r="AO139" s="14"/>
    </row>
    <row x14ac:dyDescent="0.25" r="140" customHeight="1" ht="17.25">
      <c r="A140" s="2" t="s">
        <v>345</v>
      </c>
      <c r="B140" s="2" t="s">
        <v>95</v>
      </c>
      <c r="C140" s="2" t="s">
        <v>134</v>
      </c>
      <c r="D140" s="2" t="s">
        <v>346</v>
      </c>
      <c r="E140" s="2" t="s">
        <v>52</v>
      </c>
      <c r="F140" s="2" t="s">
        <v>347</v>
      </c>
      <c r="G140" s="2" t="s">
        <v>348</v>
      </c>
      <c r="H140" s="13">
        <v>6.24</v>
      </c>
      <c r="I140" s="15">
        <v>2</v>
      </c>
      <c r="J140" s="13">
        <v>1.2</v>
      </c>
      <c r="K140" s="15">
        <v>47</v>
      </c>
      <c r="L140" s="15">
        <v>1</v>
      </c>
      <c r="M140" s="13">
        <v>0.8</v>
      </c>
      <c r="N140" s="15"/>
      <c r="O140" s="16"/>
      <c r="P140" s="13"/>
      <c r="Q140" s="13"/>
      <c r="R140" s="17"/>
      <c r="S140" s="13"/>
      <c r="T140" s="17"/>
      <c r="U140" s="13"/>
      <c r="V140" s="16"/>
      <c r="W140" s="13"/>
      <c r="X140" s="13"/>
      <c r="Y140" s="14"/>
      <c r="Z140" s="2"/>
      <c r="AA140" s="13">
        <f>H140*I140/100</f>
      </c>
      <c r="AB140" s="13">
        <f>H140*J140/100</f>
      </c>
      <c r="AC140" s="15">
        <f>H140*K140</f>
      </c>
      <c r="AD140" s="15">
        <f>H140*M140</f>
      </c>
      <c r="AE140" s="13">
        <f>H140*L140/100</f>
      </c>
      <c r="AF140" s="13">
        <f>AA140+AB140+AE140</f>
      </c>
      <c r="AG140" s="13">
        <f>I140+J140+L140</f>
      </c>
      <c r="AH140" s="18">
        <f>$H140*I140</f>
      </c>
      <c r="AI140" s="18">
        <f>$H140*J140</f>
      </c>
      <c r="AJ140" s="18">
        <f>$H140*K140</f>
      </c>
      <c r="AK140" s="18">
        <f>$H140*L140</f>
      </c>
      <c r="AL140" s="18">
        <f>$H140*M140</f>
      </c>
      <c r="AM140" s="14"/>
      <c r="AN140" s="14"/>
      <c r="AO140" s="14"/>
    </row>
    <row x14ac:dyDescent="0.25" r="141" customHeight="1" ht="17.25">
      <c r="A141" s="2" t="s">
        <v>349</v>
      </c>
      <c r="B141" s="2" t="s">
        <v>95</v>
      </c>
      <c r="C141" s="2" t="s">
        <v>50</v>
      </c>
      <c r="D141" s="2"/>
      <c r="E141" s="2" t="s">
        <v>52</v>
      </c>
      <c r="F141" s="2" t="s">
        <v>350</v>
      </c>
      <c r="G141" s="2" t="s">
        <v>106</v>
      </c>
      <c r="H141" s="13">
        <v>2.6100000000000003</v>
      </c>
      <c r="I141" s="13">
        <v>1.0699616858237548</v>
      </c>
      <c r="J141" s="13">
        <v>2.6713793103448276</v>
      </c>
      <c r="K141" s="17">
        <v>88.2911877394636</v>
      </c>
      <c r="L141" s="13">
        <v>0.09716475095785441</v>
      </c>
      <c r="M141" s="13">
        <v>0.698735632183908</v>
      </c>
      <c r="N141" s="15"/>
      <c r="O141" s="16"/>
      <c r="P141" s="13"/>
      <c r="Q141" s="13"/>
      <c r="R141" s="17"/>
      <c r="S141" s="13"/>
      <c r="T141" s="17"/>
      <c r="U141" s="13"/>
      <c r="V141" s="16"/>
      <c r="W141" s="13"/>
      <c r="X141" s="13"/>
      <c r="Y141" s="14"/>
      <c r="Z141" s="2"/>
      <c r="AA141" s="13">
        <f>H141*I141/100</f>
      </c>
      <c r="AB141" s="13">
        <f>H141*J141/100</f>
      </c>
      <c r="AC141" s="15">
        <f>H141*K141</f>
      </c>
      <c r="AD141" s="15">
        <f>H141*M141</f>
      </c>
      <c r="AE141" s="13">
        <f>H141*L141/100</f>
      </c>
      <c r="AF141" s="13">
        <f>AA141+AB141+AE141</f>
      </c>
      <c r="AG141" s="13">
        <f>I141+J141+L141</f>
      </c>
      <c r="AH141" s="18">
        <f>$H141*I141</f>
      </c>
      <c r="AI141" s="18">
        <f>$H141*J141</f>
      </c>
      <c r="AJ141" s="18">
        <f>$H141*K141</f>
      </c>
      <c r="AK141" s="18">
        <f>$H141*L141</f>
      </c>
      <c r="AL141" s="18">
        <f>$H141*M141</f>
      </c>
      <c r="AM141" s="14"/>
      <c r="AN141" s="14"/>
      <c r="AO141" s="14"/>
    </row>
    <row x14ac:dyDescent="0.25" r="142" customHeight="1" ht="17.25">
      <c r="A142" s="2" t="s">
        <v>351</v>
      </c>
      <c r="B142" s="2" t="s">
        <v>95</v>
      </c>
      <c r="C142" s="2" t="s">
        <v>134</v>
      </c>
      <c r="D142" s="2"/>
      <c r="E142" s="2" t="s">
        <v>52</v>
      </c>
      <c r="F142" s="2" t="s">
        <v>352</v>
      </c>
      <c r="G142" s="2" t="s">
        <v>353</v>
      </c>
      <c r="H142" s="13">
        <v>1.25</v>
      </c>
      <c r="I142" s="13">
        <v>1.76</v>
      </c>
      <c r="J142" s="13">
        <v>3.3</v>
      </c>
      <c r="K142" s="13">
        <v>68.8</v>
      </c>
      <c r="L142" s="13">
        <v>0.81</v>
      </c>
      <c r="M142" s="13">
        <v>0.66</v>
      </c>
      <c r="N142" s="15"/>
      <c r="O142" s="16"/>
      <c r="P142" s="13"/>
      <c r="Q142" s="13"/>
      <c r="R142" s="17"/>
      <c r="S142" s="13"/>
      <c r="T142" s="17"/>
      <c r="U142" s="13"/>
      <c r="V142" s="16"/>
      <c r="W142" s="13"/>
      <c r="X142" s="13"/>
      <c r="Y142" s="14"/>
      <c r="Z142" s="2"/>
      <c r="AA142" s="13">
        <f>H142*I142/100</f>
      </c>
      <c r="AB142" s="13">
        <f>H142*J142/100</f>
      </c>
      <c r="AC142" s="15">
        <f>H142*K142</f>
      </c>
      <c r="AD142" s="15">
        <f>H142*M142</f>
      </c>
      <c r="AE142" s="13">
        <f>H142*L142/100</f>
      </c>
      <c r="AF142" s="13">
        <f>AA142+AB142+AE142</f>
      </c>
      <c r="AG142" s="13">
        <f>I142+J142+L142</f>
      </c>
      <c r="AH142" s="18">
        <f>$H142*I142</f>
      </c>
      <c r="AI142" s="18">
        <f>$H142*J142</f>
      </c>
      <c r="AJ142" s="18">
        <f>$H142*K142</f>
      </c>
      <c r="AK142" s="18">
        <f>$H142*L142</f>
      </c>
      <c r="AL142" s="18">
        <f>$H142*M142</f>
      </c>
      <c r="AM142" s="14"/>
      <c r="AN142" s="14"/>
      <c r="AO142" s="14"/>
    </row>
    <row x14ac:dyDescent="0.25" r="143" customHeight="1" ht="17.25">
      <c r="A143" s="2" t="s">
        <v>354</v>
      </c>
      <c r="B143" s="2" t="s">
        <v>95</v>
      </c>
      <c r="C143" s="2" t="s">
        <v>40</v>
      </c>
      <c r="D143" s="2" t="s">
        <v>64</v>
      </c>
      <c r="E143" s="2" t="s">
        <v>52</v>
      </c>
      <c r="F143" s="2" t="s">
        <v>355</v>
      </c>
      <c r="G143" s="2" t="s">
        <v>356</v>
      </c>
      <c r="H143" s="13">
        <v>48.3</v>
      </c>
      <c r="I143" s="13">
        <v>0.8300000000000001</v>
      </c>
      <c r="J143" s="13">
        <v>0.8800000000000001</v>
      </c>
      <c r="K143" s="15">
        <v>20.37826086956522</v>
      </c>
      <c r="L143" s="13">
        <v>0.3904347826086957</v>
      </c>
      <c r="M143" s="13"/>
      <c r="N143" s="15"/>
      <c r="O143" s="16"/>
      <c r="P143" s="13">
        <v>0.0731</v>
      </c>
      <c r="Q143" s="13"/>
      <c r="R143" s="17"/>
      <c r="S143" s="13"/>
      <c r="T143" s="17"/>
      <c r="U143" s="13"/>
      <c r="V143" s="16"/>
      <c r="W143" s="13"/>
      <c r="X143" s="13"/>
      <c r="Y143" s="14"/>
      <c r="Z143" s="2"/>
      <c r="AA143" s="13">
        <f>H143*I143/100</f>
      </c>
      <c r="AB143" s="13">
        <f>H143*J143/100</f>
      </c>
      <c r="AC143" s="15">
        <f>H143*K143</f>
      </c>
      <c r="AD143" s="15">
        <f>H143*M143</f>
      </c>
      <c r="AE143" s="13">
        <f>H143*L143/100</f>
      </c>
      <c r="AF143" s="13">
        <f>AA143+AB143+AE143</f>
      </c>
      <c r="AG143" s="13">
        <f>I143+J143+L143</f>
      </c>
      <c r="AH143" s="18">
        <f>$H143*I143</f>
      </c>
      <c r="AI143" s="18">
        <f>$H143*J143</f>
      </c>
      <c r="AJ143" s="18">
        <f>$H143*K143</f>
      </c>
      <c r="AK143" s="18">
        <f>$H143*L143</f>
      </c>
      <c r="AL143" s="18">
        <f>$H143*M143</f>
      </c>
      <c r="AM143" s="14"/>
      <c r="AN143" s="14"/>
      <c r="AO143" s="14"/>
    </row>
    <row x14ac:dyDescent="0.25" r="144" customHeight="1" ht="17.25">
      <c r="A144" s="2" t="s">
        <v>357</v>
      </c>
      <c r="B144" s="2" t="s">
        <v>95</v>
      </c>
      <c r="C144" s="2" t="s">
        <v>56</v>
      </c>
      <c r="D144" s="2"/>
      <c r="E144" s="2" t="s">
        <v>52</v>
      </c>
      <c r="F144" s="2" t="s">
        <v>358</v>
      </c>
      <c r="G144" s="2" t="s">
        <v>108</v>
      </c>
      <c r="H144" s="16">
        <v>1.49</v>
      </c>
      <c r="I144" s="13">
        <v>0.71</v>
      </c>
      <c r="J144" s="13">
        <v>1.56</v>
      </c>
      <c r="K144" s="14">
        <v>245</v>
      </c>
      <c r="L144" s="13">
        <v>0.27</v>
      </c>
      <c r="M144" s="13"/>
      <c r="N144" s="15"/>
      <c r="O144" s="16"/>
      <c r="P144" s="13"/>
      <c r="Q144" s="13"/>
      <c r="R144" s="17"/>
      <c r="S144" s="13"/>
      <c r="T144" s="17"/>
      <c r="U144" s="13"/>
      <c r="V144" s="16"/>
      <c r="W144" s="13"/>
      <c r="X144" s="13"/>
      <c r="Y144" s="14"/>
      <c r="Z144" s="2"/>
      <c r="AA144" s="13">
        <f>H144*I144/100</f>
      </c>
      <c r="AB144" s="13">
        <f>H144*J144/100</f>
      </c>
      <c r="AC144" s="15">
        <f>H144*K144</f>
      </c>
      <c r="AD144" s="15">
        <f>H144*M144</f>
      </c>
      <c r="AE144" s="13">
        <f>H144*L144/100</f>
      </c>
      <c r="AF144" s="13">
        <f>AA144+AB144+AE144</f>
      </c>
      <c r="AG144" s="13">
        <f>I144+J144+L144</f>
      </c>
      <c r="AH144" s="18">
        <f>$H144*I144</f>
      </c>
      <c r="AI144" s="18">
        <f>$H144*J144</f>
      </c>
      <c r="AJ144" s="18">
        <f>$H144*K144</f>
      </c>
      <c r="AK144" s="18">
        <f>$H144*L144</f>
      </c>
      <c r="AL144" s="18">
        <f>$H144*M144</f>
      </c>
      <c r="AM144" s="14"/>
      <c r="AN144" s="14"/>
      <c r="AO144" s="14"/>
    </row>
    <row x14ac:dyDescent="0.25" r="145" customHeight="1" ht="17.25">
      <c r="A145" s="2" t="s">
        <v>359</v>
      </c>
      <c r="B145" s="2" t="s">
        <v>95</v>
      </c>
      <c r="C145" s="2" t="s">
        <v>50</v>
      </c>
      <c r="D145" s="2"/>
      <c r="E145" s="2" t="s">
        <v>52</v>
      </c>
      <c r="F145" s="2" t="s">
        <v>215</v>
      </c>
      <c r="G145" s="2" t="s">
        <v>108</v>
      </c>
      <c r="H145" s="13">
        <v>0.972</v>
      </c>
      <c r="I145" s="13">
        <v>0.2</v>
      </c>
      <c r="J145" s="13">
        <v>1.1</v>
      </c>
      <c r="K145" s="13">
        <v>10.3</v>
      </c>
      <c r="L145" s="13">
        <v>2.1</v>
      </c>
      <c r="M145" s="13">
        <v>0.1</v>
      </c>
      <c r="N145" s="15"/>
      <c r="O145" s="16"/>
      <c r="P145" s="13"/>
      <c r="Q145" s="13"/>
      <c r="R145" s="17"/>
      <c r="S145" s="13"/>
      <c r="T145" s="17"/>
      <c r="U145" s="13"/>
      <c r="V145" s="16"/>
      <c r="W145" s="13"/>
      <c r="X145" s="13"/>
      <c r="Y145" s="14"/>
      <c r="Z145" s="2"/>
      <c r="AA145" s="13">
        <f>H145*I145/100</f>
      </c>
      <c r="AB145" s="13">
        <f>H145*J145/100</f>
      </c>
      <c r="AC145" s="15">
        <f>H145*K145</f>
      </c>
      <c r="AD145" s="15">
        <f>H145*M145</f>
      </c>
      <c r="AE145" s="13">
        <f>H145*L145/100</f>
      </c>
      <c r="AF145" s="13">
        <f>AA145+AB145+AE145</f>
      </c>
      <c r="AG145" s="13">
        <f>I145+J145+L145</f>
      </c>
      <c r="AH145" s="18">
        <f>$H145*I145</f>
      </c>
      <c r="AI145" s="18">
        <f>$H145*J145</f>
      </c>
      <c r="AJ145" s="18">
        <f>$H145*K145</f>
      </c>
      <c r="AK145" s="18">
        <f>$H145*L145</f>
      </c>
      <c r="AL145" s="18">
        <f>$H145*M145</f>
      </c>
      <c r="AM145" s="14"/>
      <c r="AN145" s="14"/>
      <c r="AO145" s="14"/>
    </row>
    <row x14ac:dyDescent="0.25" r="146" customHeight="1" ht="17.25">
      <c r="A146" s="2" t="s">
        <v>360</v>
      </c>
      <c r="B146" s="2" t="s">
        <v>95</v>
      </c>
      <c r="C146" s="2" t="s">
        <v>50</v>
      </c>
      <c r="D146" s="2"/>
      <c r="E146" s="2" t="s">
        <v>52</v>
      </c>
      <c r="F146" s="2" t="s">
        <v>361</v>
      </c>
      <c r="G146" s="2" t="s">
        <v>108</v>
      </c>
      <c r="H146" s="13">
        <v>2.875</v>
      </c>
      <c r="I146" s="13"/>
      <c r="J146" s="13">
        <v>1.3490852173913042</v>
      </c>
      <c r="K146" s="14"/>
      <c r="L146" s="13">
        <v>0.7598608695652175</v>
      </c>
      <c r="M146" s="13"/>
      <c r="N146" s="15"/>
      <c r="O146" s="16"/>
      <c r="P146" s="13"/>
      <c r="Q146" s="13"/>
      <c r="R146" s="17"/>
      <c r="S146" s="13"/>
      <c r="T146" s="17"/>
      <c r="U146" s="13"/>
      <c r="V146" s="16"/>
      <c r="W146" s="13"/>
      <c r="X146" s="13"/>
      <c r="Y146" s="14"/>
      <c r="Z146" s="2"/>
      <c r="AA146" s="13">
        <f>H146*I146/100</f>
      </c>
      <c r="AB146" s="13">
        <f>H146*J146/100</f>
      </c>
      <c r="AC146" s="15">
        <f>H146*K146</f>
      </c>
      <c r="AD146" s="15">
        <f>H146*M146</f>
      </c>
      <c r="AE146" s="13">
        <f>H146*L146/100</f>
      </c>
      <c r="AF146" s="13">
        <f>AA146+AB146+AE146</f>
      </c>
      <c r="AG146" s="13">
        <f>I146+J146+L146</f>
      </c>
      <c r="AH146" s="18">
        <f>$H146*I146</f>
      </c>
      <c r="AI146" s="18">
        <f>$H146*J146</f>
      </c>
      <c r="AJ146" s="18">
        <f>$H146*K146</f>
      </c>
      <c r="AK146" s="18">
        <f>$H146*L146</f>
      </c>
      <c r="AL146" s="18">
        <f>$H146*M146</f>
      </c>
      <c r="AM146" s="14"/>
      <c r="AN146" s="14"/>
      <c r="AO146" s="14"/>
    </row>
    <row x14ac:dyDescent="0.25" r="147" customHeight="1" ht="17.25">
      <c r="A147" s="2" t="s">
        <v>362</v>
      </c>
      <c r="B147" s="2" t="s">
        <v>95</v>
      </c>
      <c r="C147" s="2" t="s">
        <v>40</v>
      </c>
      <c r="D147" s="2" t="s">
        <v>363</v>
      </c>
      <c r="E147" s="2" t="s">
        <v>52</v>
      </c>
      <c r="F147" s="2" t="s">
        <v>364</v>
      </c>
      <c r="G147" s="2" t="s">
        <v>365</v>
      </c>
      <c r="H147" s="15">
        <v>41.5</v>
      </c>
      <c r="I147" s="13">
        <v>0.5</v>
      </c>
      <c r="J147" s="13"/>
      <c r="K147" s="14">
        <v>45</v>
      </c>
      <c r="L147" s="13"/>
      <c r="M147" s="13"/>
      <c r="N147" s="15"/>
      <c r="O147" s="16"/>
      <c r="P147" s="13"/>
      <c r="Q147" s="13"/>
      <c r="R147" s="17"/>
      <c r="S147" s="13"/>
      <c r="T147" s="17"/>
      <c r="U147" s="13"/>
      <c r="V147" s="16"/>
      <c r="W147" s="13"/>
      <c r="X147" s="13"/>
      <c r="Y147" s="14"/>
      <c r="Z147" s="2"/>
      <c r="AA147" s="13">
        <f>H147*I147/100</f>
      </c>
      <c r="AB147" s="13">
        <f>H147*J147/100</f>
      </c>
      <c r="AC147" s="15">
        <f>H147*K147</f>
      </c>
      <c r="AD147" s="15">
        <f>H147*M147</f>
      </c>
      <c r="AE147" s="13">
        <f>H147*L147/100</f>
      </c>
      <c r="AF147" s="13">
        <f>AA147+AB147+AE147</f>
      </c>
      <c r="AG147" s="13">
        <f>I147+J147+L147</f>
      </c>
      <c r="AH147" s="18">
        <f>$H147*I147</f>
      </c>
      <c r="AI147" s="18">
        <f>$H147*J147</f>
      </c>
      <c r="AJ147" s="18">
        <f>$H147*K147</f>
      </c>
      <c r="AK147" s="18">
        <f>$H147*L147</f>
      </c>
      <c r="AL147" s="18">
        <f>$H147*M147</f>
      </c>
      <c r="AM147" s="14"/>
      <c r="AN147" s="14"/>
      <c r="AO147" s="14"/>
    </row>
    <row x14ac:dyDescent="0.25" r="148" customHeight="1" ht="17.25">
      <c r="A148" s="2" t="s">
        <v>366</v>
      </c>
      <c r="B148" s="2" t="s">
        <v>95</v>
      </c>
      <c r="C148" s="2" t="s">
        <v>367</v>
      </c>
      <c r="D148" s="2" t="s">
        <v>368</v>
      </c>
      <c r="E148" s="21" t="s">
        <v>198</v>
      </c>
      <c r="F148" s="2" t="s">
        <v>233</v>
      </c>
      <c r="G148" s="2" t="s">
        <v>108</v>
      </c>
      <c r="H148" s="13">
        <v>11.65</v>
      </c>
      <c r="I148" s="13">
        <v>1.3484120171673821</v>
      </c>
      <c r="J148" s="13">
        <v>2.285579399141631</v>
      </c>
      <c r="K148" s="17">
        <v>31.8068669527897</v>
      </c>
      <c r="L148" s="13">
        <v>0.504549356223176</v>
      </c>
      <c r="M148" s="13">
        <v>0.29420600858369095</v>
      </c>
      <c r="N148" s="15"/>
      <c r="O148" s="16"/>
      <c r="P148" s="13"/>
      <c r="Q148" s="13"/>
      <c r="R148" s="17"/>
      <c r="S148" s="13"/>
      <c r="T148" s="17"/>
      <c r="U148" s="13"/>
      <c r="V148" s="16"/>
      <c r="W148" s="13"/>
      <c r="X148" s="13"/>
      <c r="Y148" s="14"/>
      <c r="Z148" s="2"/>
      <c r="AA148" s="13">
        <f>H148*I148/100</f>
      </c>
      <c r="AB148" s="13">
        <f>H148*J148/100</f>
      </c>
      <c r="AC148" s="15">
        <f>H148*K148</f>
      </c>
      <c r="AD148" s="15">
        <f>H148*M148</f>
      </c>
      <c r="AE148" s="13">
        <f>H148*L148/100</f>
      </c>
      <c r="AF148" s="13">
        <f>AA148+AB148+AE148</f>
      </c>
      <c r="AG148" s="13">
        <f>I148+J148+L148</f>
      </c>
      <c r="AH148" s="18">
        <f>$H148*I148</f>
      </c>
      <c r="AI148" s="18">
        <f>$H148*J148</f>
      </c>
      <c r="AJ148" s="18">
        <f>$H148*K148</f>
      </c>
      <c r="AK148" s="18">
        <f>$H148*L148</f>
      </c>
      <c r="AL148" s="18">
        <f>$H148*M148</f>
      </c>
      <c r="AM148" s="14"/>
      <c r="AN148" s="14"/>
      <c r="AO148" s="14"/>
    </row>
    <row x14ac:dyDescent="0.25" r="149" customHeight="1" ht="17.25">
      <c r="A149" s="2" t="s">
        <v>369</v>
      </c>
      <c r="B149" s="2" t="s">
        <v>95</v>
      </c>
      <c r="C149" s="2" t="s">
        <v>370</v>
      </c>
      <c r="D149" s="2" t="s">
        <v>368</v>
      </c>
      <c r="E149" s="2" t="s">
        <v>52</v>
      </c>
      <c r="F149" s="2" t="s">
        <v>233</v>
      </c>
      <c r="G149" s="2" t="s">
        <v>108</v>
      </c>
      <c r="H149" s="13">
        <v>10.1</v>
      </c>
      <c r="I149" s="13">
        <v>4.029029702970297</v>
      </c>
      <c r="J149" s="13">
        <v>10.152178217821783</v>
      </c>
      <c r="K149" s="17">
        <v>84.45148514851486</v>
      </c>
      <c r="L149" s="13">
        <v>1.7774257425742577</v>
      </c>
      <c r="M149" s="13">
        <v>0.5505346534653466</v>
      </c>
      <c r="N149" s="15"/>
      <c r="O149" s="16"/>
      <c r="P149" s="13"/>
      <c r="Q149" s="13"/>
      <c r="R149" s="17"/>
      <c r="S149" s="13"/>
      <c r="T149" s="17"/>
      <c r="U149" s="13"/>
      <c r="V149" s="16"/>
      <c r="W149" s="13"/>
      <c r="X149" s="13"/>
      <c r="Y149" s="14"/>
      <c r="Z149" s="2"/>
      <c r="AA149" s="13">
        <f>H149*I149/100</f>
      </c>
      <c r="AB149" s="13">
        <f>H149*J149/100</f>
      </c>
      <c r="AC149" s="15">
        <f>H149*K149</f>
      </c>
      <c r="AD149" s="15">
        <f>H149*M149</f>
      </c>
      <c r="AE149" s="13">
        <f>H149*L149/100</f>
      </c>
      <c r="AF149" s="13">
        <f>AA149+AB149+AE149</f>
      </c>
      <c r="AG149" s="13">
        <f>I149+J149+L149</f>
      </c>
      <c r="AH149" s="18">
        <f>$H149*I149</f>
      </c>
      <c r="AI149" s="18">
        <f>$H149*J149</f>
      </c>
      <c r="AJ149" s="18">
        <f>$H149*K149</f>
      </c>
      <c r="AK149" s="18">
        <f>$H149*L149</f>
      </c>
      <c r="AL149" s="18">
        <f>$H149*M149</f>
      </c>
      <c r="AM149" s="14"/>
      <c r="AN149" s="14"/>
      <c r="AO149" s="14"/>
    </row>
    <row x14ac:dyDescent="0.25" r="150" customHeight="1" ht="17.25">
      <c r="A150" s="2" t="s">
        <v>371</v>
      </c>
      <c r="B150" s="2" t="s">
        <v>95</v>
      </c>
      <c r="C150" s="2" t="s">
        <v>372</v>
      </c>
      <c r="D150" s="2" t="s">
        <v>373</v>
      </c>
      <c r="E150" s="21" t="s">
        <v>198</v>
      </c>
      <c r="F150" s="2" t="s">
        <v>374</v>
      </c>
      <c r="G150" s="2" t="s">
        <v>375</v>
      </c>
      <c r="H150" s="13">
        <v>0.42</v>
      </c>
      <c r="I150" s="13">
        <v>1.5</v>
      </c>
      <c r="J150" s="13">
        <v>13.6</v>
      </c>
      <c r="K150" s="14">
        <v>55</v>
      </c>
      <c r="L150" s="13"/>
      <c r="M150" s="13"/>
      <c r="N150" s="15"/>
      <c r="O150" s="16"/>
      <c r="P150" s="13"/>
      <c r="Q150" s="13"/>
      <c r="R150" s="14">
        <v>48</v>
      </c>
      <c r="S150" s="13"/>
      <c r="T150" s="17"/>
      <c r="U150" s="13"/>
      <c r="V150" s="16"/>
      <c r="W150" s="13"/>
      <c r="X150" s="13"/>
      <c r="Y150" s="14"/>
      <c r="Z150" s="2"/>
      <c r="AA150" s="13">
        <f>H150*I150/100</f>
      </c>
      <c r="AB150" s="13">
        <f>H150*J150/100</f>
      </c>
      <c r="AC150" s="15">
        <f>H150*K150</f>
      </c>
      <c r="AD150" s="15">
        <f>H150*M150</f>
      </c>
      <c r="AE150" s="13">
        <f>H150*L150/100</f>
      </c>
      <c r="AF150" s="13">
        <f>AA150+AB150+AE150</f>
      </c>
      <c r="AG150" s="13">
        <f>I150+J150+L150</f>
      </c>
      <c r="AH150" s="18">
        <f>$H150*I150</f>
      </c>
      <c r="AI150" s="18">
        <f>$H150*J150</f>
      </c>
      <c r="AJ150" s="18">
        <f>$H150*K150</f>
      </c>
      <c r="AK150" s="18">
        <f>$H150*L150</f>
      </c>
      <c r="AL150" s="18">
        <f>$H150*M150</f>
      </c>
      <c r="AM150" s="14"/>
      <c r="AN150" s="14"/>
      <c r="AO150" s="14"/>
    </row>
    <row x14ac:dyDescent="0.25" r="151" customHeight="1" ht="17.25">
      <c r="A151" s="2" t="s">
        <v>376</v>
      </c>
      <c r="B151" s="2" t="s">
        <v>377</v>
      </c>
      <c r="C151" s="2" t="s">
        <v>40</v>
      </c>
      <c r="D151" s="2" t="s">
        <v>64</v>
      </c>
      <c r="E151" s="12" t="s">
        <v>42</v>
      </c>
      <c r="F151" s="2" t="s">
        <v>43</v>
      </c>
      <c r="G151" s="2" t="s">
        <v>378</v>
      </c>
      <c r="H151" s="14">
        <v>95</v>
      </c>
      <c r="I151" s="13">
        <v>1.43</v>
      </c>
      <c r="J151" s="13">
        <v>3.63</v>
      </c>
      <c r="K151" s="13">
        <v>44.2</v>
      </c>
      <c r="L151" s="13">
        <v>0.59</v>
      </c>
      <c r="M151" s="13"/>
      <c r="N151" s="15"/>
      <c r="O151" s="16"/>
      <c r="P151" s="13"/>
      <c r="Q151" s="13"/>
      <c r="R151" s="17"/>
      <c r="S151" s="13"/>
      <c r="T151" s="17"/>
      <c r="U151" s="13"/>
      <c r="V151" s="16"/>
      <c r="W151" s="13"/>
      <c r="X151" s="13"/>
      <c r="Y151" s="14"/>
      <c r="Z151" s="2"/>
      <c r="AA151" s="13">
        <f>H151*I151/100</f>
      </c>
      <c r="AB151" s="13">
        <f>H151*J151/100</f>
      </c>
      <c r="AC151" s="15">
        <f>H151*K151</f>
      </c>
      <c r="AD151" s="15">
        <f>H151*M151</f>
      </c>
      <c r="AE151" s="13">
        <f>H151*L151/100</f>
      </c>
      <c r="AF151" s="13">
        <f>AA151+AB151+AE151</f>
      </c>
      <c r="AG151" s="13">
        <f>I151+J151+L151</f>
      </c>
      <c r="AH151" s="18">
        <f>$H151*I151</f>
      </c>
      <c r="AI151" s="18">
        <f>$H151*J151</f>
      </c>
      <c r="AJ151" s="18">
        <f>$H151*K151</f>
      </c>
      <c r="AK151" s="18">
        <f>$H151*L151</f>
      </c>
      <c r="AL151" s="18">
        <f>$H151*M151</f>
      </c>
      <c r="AM151" s="14"/>
      <c r="AN151" s="14"/>
      <c r="AO151" s="14"/>
    </row>
    <row x14ac:dyDescent="0.25" r="152" customHeight="1" ht="17.25">
      <c r="A152" s="2" t="s">
        <v>379</v>
      </c>
      <c r="B152" s="2" t="s">
        <v>380</v>
      </c>
      <c r="C152" s="2" t="s">
        <v>56</v>
      </c>
      <c r="D152" s="2" t="s">
        <v>381</v>
      </c>
      <c r="E152" s="2" t="s">
        <v>52</v>
      </c>
      <c r="F152" s="2" t="s">
        <v>65</v>
      </c>
      <c r="G152" s="2" t="s">
        <v>66</v>
      </c>
      <c r="H152" s="13">
        <f>1+0.7+2.4</f>
      </c>
      <c r="I152" s="15">
        <f>(1.38*1+1*0.7+0.7*2.4)/$H152</f>
      </c>
      <c r="J152" s="15">
        <f>(10.9*1+11*0.7+9*2.4)/$H152</f>
      </c>
      <c r="K152" s="17">
        <f>(296*1+320*0.7+300*2.4)/$H152</f>
      </c>
      <c r="L152" s="13"/>
      <c r="M152" s="13"/>
      <c r="N152" s="15"/>
      <c r="O152" s="16"/>
      <c r="P152" s="13"/>
      <c r="Q152" s="13"/>
      <c r="R152" s="17"/>
      <c r="S152" s="13"/>
      <c r="T152" s="17"/>
      <c r="U152" s="13"/>
      <c r="V152" s="16"/>
      <c r="W152" s="13"/>
      <c r="X152" s="13"/>
      <c r="Y152" s="14"/>
      <c r="Z152" s="2"/>
      <c r="AA152" s="13">
        <f>H152*I152/100</f>
      </c>
      <c r="AB152" s="13">
        <f>H152*J152/100</f>
      </c>
      <c r="AC152" s="15">
        <f>H152*K152</f>
      </c>
      <c r="AD152" s="15">
        <f>H152*M152</f>
      </c>
      <c r="AE152" s="13">
        <f>H152*L152/100</f>
      </c>
      <c r="AF152" s="13">
        <f>AA152+AB152+AE152</f>
      </c>
      <c r="AG152" s="13">
        <f>I152+J152+L152</f>
      </c>
      <c r="AH152" s="18">
        <f>$H152*I152</f>
      </c>
      <c r="AI152" s="18">
        <f>$H152*J152</f>
      </c>
      <c r="AJ152" s="18">
        <f>$H152*K152</f>
      </c>
      <c r="AK152" s="18">
        <f>$H152*L152</f>
      </c>
      <c r="AL152" s="18">
        <f>$H152*M152</f>
      </c>
      <c r="AM152" s="14"/>
      <c r="AN152" s="14"/>
      <c r="AO152" s="14"/>
    </row>
    <row x14ac:dyDescent="0.25" r="153" customHeight="1" ht="17.25">
      <c r="A153" s="2" t="s">
        <v>382</v>
      </c>
      <c r="B153" s="2" t="s">
        <v>380</v>
      </c>
      <c r="C153" s="2" t="s">
        <v>189</v>
      </c>
      <c r="D153" s="2" t="s">
        <v>381</v>
      </c>
      <c r="E153" s="2" t="s">
        <v>52</v>
      </c>
      <c r="F153" s="2" t="s">
        <v>65</v>
      </c>
      <c r="G153" s="2" t="s">
        <v>66</v>
      </c>
      <c r="H153" s="13">
        <f>0.53+0.5+1.3</f>
      </c>
      <c r="I153" s="15">
        <f>(2.65*0.53+2.4*0.5+2*1.3)/$H153</f>
      </c>
      <c r="J153" s="15">
        <f>(9.63*0.53+9.7*0.5+8*1.3)/$H153</f>
      </c>
      <c r="K153" s="17">
        <f>(207*0.53+200*0.5+200*1.3)/$H153</f>
      </c>
      <c r="L153" s="13"/>
      <c r="M153" s="13"/>
      <c r="N153" s="15"/>
      <c r="O153" s="16"/>
      <c r="P153" s="13"/>
      <c r="Q153" s="13"/>
      <c r="R153" s="17"/>
      <c r="S153" s="13"/>
      <c r="T153" s="17"/>
      <c r="U153" s="13"/>
      <c r="V153" s="16"/>
      <c r="W153" s="13"/>
      <c r="X153" s="13"/>
      <c r="Y153" s="14"/>
      <c r="Z153" s="2"/>
      <c r="AA153" s="13">
        <f>H153*I153/100</f>
      </c>
      <c r="AB153" s="13">
        <f>H153*J153/100</f>
      </c>
      <c r="AC153" s="15">
        <f>H153*K153</f>
      </c>
      <c r="AD153" s="15">
        <f>H153*M153</f>
      </c>
      <c r="AE153" s="13">
        <f>H153*L153/100</f>
      </c>
      <c r="AF153" s="13">
        <f>AA153+AB153+AE153</f>
      </c>
      <c r="AG153" s="13">
        <f>I153+J153+L153</f>
      </c>
      <c r="AH153" s="18">
        <f>$H153*I153</f>
      </c>
      <c r="AI153" s="18">
        <f>$H153*J153</f>
      </c>
      <c r="AJ153" s="18">
        <f>$H153*K153</f>
      </c>
      <c r="AK153" s="18">
        <f>$H153*L153</f>
      </c>
      <c r="AL153" s="18">
        <f>$H153*M153</f>
      </c>
      <c r="AM153" s="14"/>
      <c r="AN153" s="14"/>
      <c r="AO153" s="14"/>
    </row>
    <row x14ac:dyDescent="0.25" r="154" customHeight="1" ht="17.25">
      <c r="A154" s="2" t="s">
        <v>383</v>
      </c>
      <c r="B154" s="2" t="s">
        <v>380</v>
      </c>
      <c r="C154" s="2" t="s">
        <v>384</v>
      </c>
      <c r="D154" s="2" t="s">
        <v>381</v>
      </c>
      <c r="E154" s="21" t="s">
        <v>198</v>
      </c>
      <c r="F154" s="2" t="s">
        <v>385</v>
      </c>
      <c r="G154" s="2" t="s">
        <v>386</v>
      </c>
      <c r="H154" s="16">
        <f>0.18378652+0.18151308</f>
      </c>
      <c r="I154" s="13">
        <f>(0.16*0.18378652+0.47*0.18151308)/$H154</f>
      </c>
      <c r="J154" s="13">
        <f>(1.47*0.18378652+3*0.18151308)/$H154</f>
      </c>
      <c r="K154" s="15">
        <f>(8.12*0.18378652+17.85*0.18151308)/$H154</f>
      </c>
      <c r="L154" s="13"/>
      <c r="M154" s="13"/>
      <c r="N154" s="15"/>
      <c r="O154" s="16"/>
      <c r="P154" s="13"/>
      <c r="Q154" s="13"/>
      <c r="R154" s="17"/>
      <c r="S154" s="13"/>
      <c r="T154" s="17"/>
      <c r="U154" s="13"/>
      <c r="V154" s="16"/>
      <c r="W154" s="13"/>
      <c r="X154" s="13"/>
      <c r="Y154" s="14"/>
      <c r="Z154" s="2"/>
      <c r="AA154" s="13">
        <f>H154*I154/100</f>
      </c>
      <c r="AB154" s="13">
        <f>H154*J154/100</f>
      </c>
      <c r="AC154" s="15">
        <f>H154*K154</f>
      </c>
      <c r="AD154" s="15">
        <f>H154*M154</f>
      </c>
      <c r="AE154" s="13">
        <f>H154*L154/100</f>
      </c>
      <c r="AF154" s="13">
        <f>AA154+AB154+AE154</f>
      </c>
      <c r="AG154" s="13">
        <f>I154+J154+L154</f>
      </c>
      <c r="AH154" s="18">
        <f>$H154*I154</f>
      </c>
      <c r="AI154" s="18">
        <f>$H154*J154</f>
      </c>
      <c r="AJ154" s="18">
        <f>$H154*K154</f>
      </c>
      <c r="AK154" s="18">
        <f>$H154*L154</f>
      </c>
      <c r="AL154" s="18">
        <f>$H154*M154</f>
      </c>
      <c r="AM154" s="14"/>
      <c r="AN154" s="14"/>
      <c r="AO154" s="14"/>
    </row>
    <row x14ac:dyDescent="0.25" r="155" customHeight="1" ht="17.25">
      <c r="A155" s="2" t="s">
        <v>387</v>
      </c>
      <c r="B155" s="2" t="s">
        <v>380</v>
      </c>
      <c r="C155" s="2" t="s">
        <v>56</v>
      </c>
      <c r="D155" s="2" t="s">
        <v>381</v>
      </c>
      <c r="E155" s="2" t="s">
        <v>52</v>
      </c>
      <c r="F155" s="2" t="s">
        <v>385</v>
      </c>
      <c r="G155" s="2" t="s">
        <v>388</v>
      </c>
      <c r="H155" s="13">
        <v>0.1163</v>
      </c>
      <c r="I155" s="13">
        <v>1.2</v>
      </c>
      <c r="J155" s="13">
        <v>5.1</v>
      </c>
      <c r="K155" s="14">
        <v>54</v>
      </c>
      <c r="L155" s="13"/>
      <c r="M155" s="13"/>
      <c r="N155" s="15"/>
      <c r="O155" s="16"/>
      <c r="P155" s="13"/>
      <c r="Q155" s="13"/>
      <c r="R155" s="17"/>
      <c r="S155" s="13"/>
      <c r="T155" s="17"/>
      <c r="U155" s="13"/>
      <c r="V155" s="16"/>
      <c r="W155" s="13"/>
      <c r="X155" s="13"/>
      <c r="Y155" s="14"/>
      <c r="Z155" s="2"/>
      <c r="AA155" s="13">
        <f>H155*I155/100</f>
      </c>
      <c r="AB155" s="13">
        <f>H155*J155/100</f>
      </c>
      <c r="AC155" s="15">
        <f>H155*K155</f>
      </c>
      <c r="AD155" s="15">
        <f>H155*M155</f>
      </c>
      <c r="AE155" s="13">
        <f>H155*L155/100</f>
      </c>
      <c r="AF155" s="13">
        <f>AA155+AB155+AE155</f>
      </c>
      <c r="AG155" s="13">
        <f>I155+J155+L155</f>
      </c>
      <c r="AH155" s="18">
        <f>$H155*I155</f>
      </c>
      <c r="AI155" s="18">
        <f>$H155*J155</f>
      </c>
      <c r="AJ155" s="18">
        <f>$H155*K155</f>
      </c>
      <c r="AK155" s="18">
        <f>$H155*L155</f>
      </c>
      <c r="AL155" s="18">
        <f>$H155*M155</f>
      </c>
      <c r="AM155" s="14"/>
      <c r="AN155" s="14"/>
      <c r="AO155" s="14"/>
    </row>
    <row x14ac:dyDescent="0.25" r="156" customHeight="1" ht="17.25">
      <c r="A156" s="2" t="s">
        <v>389</v>
      </c>
      <c r="B156" s="2" t="s">
        <v>380</v>
      </c>
      <c r="C156" s="2" t="s">
        <v>40</v>
      </c>
      <c r="D156" s="2" t="s">
        <v>64</v>
      </c>
      <c r="E156" s="2" t="s">
        <v>52</v>
      </c>
      <c r="F156" s="2" t="s">
        <v>390</v>
      </c>
      <c r="G156" s="2" t="s">
        <v>391</v>
      </c>
      <c r="H156" s="13">
        <f>10.781799+110.769594+75.728745+10.551449+46.177497+69.705696+9.656149+67.054896+34.429848+50.149506</f>
      </c>
      <c r="I156" s="13">
        <f>(0.13*10.781799+0.13*110.769594+0.13*75.728745+0.03*10.551449+0.03*46.177497+0.02*69.705696+0.05*9.656149+0.04*67.054896+0.03*34.429848+0.09*50.149506)/$H156</f>
      </c>
      <c r="J156" s="13">
        <f>(0.04*10.781799+0.08*110.769594+0.1*75.728745+0.004*10.551449+0.004*46.177497+0*69.705696+0.03*9.656149+0.02*67.054896+0.01*34.429848+0.05*50.149506)/$H156</f>
      </c>
      <c r="K156" s="15">
        <f>(40*10.781799+29.3*110.769594+23*75.728745+26.1*10.551449+21.7*46.177497+17.6*69.705696+34.2*9.656149+28*67.054896+22.9*34.429848+12*50.149506)/$H156</f>
      </c>
      <c r="L156" s="13">
        <f>(0.01*10.781799+0.01*110.769594+0.01*75.728745+0.02*10.551449+0.02*46.177497+0.02*69.705696+0.04*9.656149+0.05*67.054896+0.05*34.429848+0.02*50.149506)/$H156</f>
      </c>
      <c r="M156" s="13"/>
      <c r="N156" s="15"/>
      <c r="O156" s="16"/>
      <c r="P156" s="13"/>
      <c r="Q156" s="13"/>
      <c r="R156" s="15">
        <f>(6.3*10.781799+6.9*110.769594+6.6*75.728745+2.7*10.551449+2.8*46.177497+2.6*69.705696+9.5*9.656149+6*67.054896+3.2*34.429848+2.9*50.149506)/$H156</f>
      </c>
      <c r="S156" s="13"/>
      <c r="T156" s="17"/>
      <c r="U156" s="13"/>
      <c r="V156" s="15"/>
      <c r="W156" s="15"/>
      <c r="X156" s="15"/>
      <c r="Y156" s="15">
        <f>(2.8*10.781799+3.1*110.769594+3.1*75.728745+5.7*10.551449+5.5*46.177497+4.8*69.705696+5*9.656149+5.2*67.054896+5.2*34.429848+5*50.149506)/$H156</f>
      </c>
      <c r="Z156" s="2" t="s">
        <v>392</v>
      </c>
      <c r="AA156" s="13">
        <f>H156*I156/100</f>
      </c>
      <c r="AB156" s="13">
        <f>H156*J156/100</f>
      </c>
      <c r="AC156" s="15">
        <f>H156*K156</f>
      </c>
      <c r="AD156" s="15">
        <f>H156*M156</f>
      </c>
      <c r="AE156" s="13">
        <f>H156*L156/100</f>
      </c>
      <c r="AF156" s="13">
        <f>AA156+AB156+AE156</f>
      </c>
      <c r="AG156" s="13">
        <f>I156+J156+L156</f>
      </c>
      <c r="AH156" s="18">
        <f>$H156*I156</f>
      </c>
      <c r="AI156" s="18">
        <f>$H156*J156</f>
      </c>
      <c r="AJ156" s="18">
        <f>$H156*K156</f>
      </c>
      <c r="AK156" s="18">
        <f>$H156*L156</f>
      </c>
      <c r="AL156" s="18">
        <f>$H156*M156</f>
      </c>
      <c r="AM156" s="14"/>
      <c r="AN156" s="14"/>
      <c r="AO156" s="14"/>
    </row>
    <row x14ac:dyDescent="0.25" r="157" customHeight="1" ht="17.25">
      <c r="A157" s="2" t="s">
        <v>393</v>
      </c>
      <c r="B157" s="2" t="s">
        <v>380</v>
      </c>
      <c r="C157" s="2" t="s">
        <v>56</v>
      </c>
      <c r="D157" s="2"/>
      <c r="E157" s="2" t="s">
        <v>52</v>
      </c>
      <c r="F157" s="2" t="s">
        <v>385</v>
      </c>
      <c r="G157" s="2" t="s">
        <v>388</v>
      </c>
      <c r="H157" s="16">
        <v>18.4161</v>
      </c>
      <c r="I157" s="13">
        <v>0.68</v>
      </c>
      <c r="J157" s="13">
        <v>1.16</v>
      </c>
      <c r="K157" s="13">
        <v>43.04</v>
      </c>
      <c r="L157" s="13"/>
      <c r="M157" s="13"/>
      <c r="N157" s="15"/>
      <c r="O157" s="16"/>
      <c r="P157" s="13"/>
      <c r="Q157" s="13"/>
      <c r="R157" s="17"/>
      <c r="S157" s="13"/>
      <c r="T157" s="17"/>
      <c r="U157" s="13"/>
      <c r="V157" s="16"/>
      <c r="W157" s="13"/>
      <c r="X157" s="13"/>
      <c r="Y157" s="14"/>
      <c r="Z157" s="2"/>
      <c r="AA157" s="13">
        <f>H157*I157/100</f>
      </c>
      <c r="AB157" s="13">
        <f>H157*J157/100</f>
      </c>
      <c r="AC157" s="15">
        <f>H157*K157</f>
      </c>
      <c r="AD157" s="15">
        <f>H157*M157</f>
      </c>
      <c r="AE157" s="13">
        <f>H157*L157/100</f>
      </c>
      <c r="AF157" s="13">
        <f>AA157+AB157+AE157</f>
      </c>
      <c r="AG157" s="13">
        <f>I157+J157+L157</f>
      </c>
      <c r="AH157" s="18">
        <f>$H157*I157</f>
      </c>
      <c r="AI157" s="18">
        <f>$H157*J157</f>
      </c>
      <c r="AJ157" s="18">
        <f>$H157*K157</f>
      </c>
      <c r="AK157" s="18">
        <f>$H157*L157</f>
      </c>
      <c r="AL157" s="18">
        <f>$H157*M157</f>
      </c>
      <c r="AM157" s="14"/>
      <c r="AN157" s="14"/>
      <c r="AO157" s="14"/>
    </row>
    <row x14ac:dyDescent="0.25" r="158" customHeight="1" ht="17.25">
      <c r="A158" s="2" t="s">
        <v>394</v>
      </c>
      <c r="B158" s="2" t="s">
        <v>380</v>
      </c>
      <c r="C158" s="2" t="s">
        <v>189</v>
      </c>
      <c r="D158" s="2"/>
      <c r="E158" s="2" t="s">
        <v>52</v>
      </c>
      <c r="F158" s="2" t="s">
        <v>65</v>
      </c>
      <c r="G158" s="2" t="s">
        <v>66</v>
      </c>
      <c r="H158" s="13">
        <f>0.23+0.4+1.6</f>
      </c>
      <c r="I158" s="15">
        <f>(0.35*0.23+0.5*0.4+0.5*1.6)/$H158</f>
      </c>
      <c r="J158" s="15">
        <f>(7.23*0.23+6.4*0.4+6*1.6)/$H158</f>
      </c>
      <c r="K158" s="17">
        <f>(160*0.23+240*0.4+200*1.6)/$H158</f>
      </c>
      <c r="L158" s="13"/>
      <c r="M158" s="13"/>
      <c r="N158" s="15"/>
      <c r="O158" s="16"/>
      <c r="P158" s="13"/>
      <c r="Q158" s="13"/>
      <c r="R158" s="17"/>
      <c r="S158" s="13"/>
      <c r="T158" s="17"/>
      <c r="U158" s="13"/>
      <c r="V158" s="16"/>
      <c r="W158" s="13"/>
      <c r="X158" s="13"/>
      <c r="Y158" s="14"/>
      <c r="Z158" s="2"/>
      <c r="AA158" s="13">
        <f>H158*I158/100</f>
      </c>
      <c r="AB158" s="13">
        <f>H158*J158/100</f>
      </c>
      <c r="AC158" s="15">
        <f>H158*K158</f>
      </c>
      <c r="AD158" s="15">
        <f>H158*M158</f>
      </c>
      <c r="AE158" s="13">
        <f>H158*L158/100</f>
      </c>
      <c r="AF158" s="13">
        <f>AA158+AB158+AE158</f>
      </c>
      <c r="AG158" s="13">
        <f>I158+J158+L158</f>
      </c>
      <c r="AH158" s="18">
        <f>$H158*I158</f>
      </c>
      <c r="AI158" s="18">
        <f>$H158*J158</f>
      </c>
      <c r="AJ158" s="18">
        <f>$H158*K158</f>
      </c>
      <c r="AK158" s="18">
        <f>$H158*L158</f>
      </c>
      <c r="AL158" s="18">
        <f>$H158*M158</f>
      </c>
      <c r="AM158" s="14"/>
      <c r="AN158" s="14"/>
      <c r="AO158" s="14"/>
    </row>
    <row x14ac:dyDescent="0.25" r="159" customHeight="1" ht="17.25">
      <c r="A159" s="2" t="s">
        <v>395</v>
      </c>
      <c r="B159" s="2" t="s">
        <v>380</v>
      </c>
      <c r="C159" s="2" t="s">
        <v>189</v>
      </c>
      <c r="D159" s="2"/>
      <c r="E159" s="2" t="s">
        <v>52</v>
      </c>
      <c r="F159" s="2" t="s">
        <v>65</v>
      </c>
      <c r="G159" s="2" t="s">
        <v>66</v>
      </c>
      <c r="H159" s="13">
        <f>0.75+0.4+1.2</f>
      </c>
      <c r="I159" s="15">
        <f>(0.65*0.75+1*0.4+0.9*1.2)/$H159</f>
      </c>
      <c r="J159" s="15">
        <f>(9.18*0.75+9.7*0.4+9*1.2)/$H159</f>
      </c>
      <c r="K159" s="17">
        <f>(105*0.75+100*0.4+80*1.2)/$H159</f>
      </c>
      <c r="L159" s="13"/>
      <c r="M159" s="13"/>
      <c r="N159" s="15"/>
      <c r="O159" s="16"/>
      <c r="P159" s="13"/>
      <c r="Q159" s="13"/>
      <c r="R159" s="17"/>
      <c r="S159" s="13"/>
      <c r="T159" s="17"/>
      <c r="U159" s="13"/>
      <c r="V159" s="16"/>
      <c r="W159" s="13"/>
      <c r="X159" s="13"/>
      <c r="Y159" s="14"/>
      <c r="Z159" s="2"/>
      <c r="AA159" s="13">
        <f>H159*I159/100</f>
      </c>
      <c r="AB159" s="13">
        <f>H159*J159/100</f>
      </c>
      <c r="AC159" s="15">
        <f>H159*K159</f>
      </c>
      <c r="AD159" s="15">
        <f>H159*M159</f>
      </c>
      <c r="AE159" s="13">
        <f>H159*L159/100</f>
      </c>
      <c r="AF159" s="13">
        <f>AA159+AB159+AE159</f>
      </c>
      <c r="AG159" s="13">
        <f>I159+J159+L159</f>
      </c>
      <c r="AH159" s="18">
        <f>$H159*I159</f>
      </c>
      <c r="AI159" s="18">
        <f>$H159*J159</f>
      </c>
      <c r="AJ159" s="18">
        <f>$H159*K159</f>
      </c>
      <c r="AK159" s="18">
        <f>$H159*L159</f>
      </c>
      <c r="AL159" s="18">
        <f>$H159*M159</f>
      </c>
      <c r="AM159" s="14"/>
      <c r="AN159" s="14"/>
      <c r="AO159" s="14"/>
    </row>
    <row x14ac:dyDescent="0.25" r="160" customHeight="1" ht="17.25">
      <c r="A160" s="2" t="s">
        <v>396</v>
      </c>
      <c r="B160" s="2" t="s">
        <v>380</v>
      </c>
      <c r="C160" s="2" t="s">
        <v>56</v>
      </c>
      <c r="D160" s="2"/>
      <c r="E160" s="2" t="s">
        <v>52</v>
      </c>
      <c r="F160" s="2" t="s">
        <v>397</v>
      </c>
      <c r="G160" s="2" t="s">
        <v>398</v>
      </c>
      <c r="H160" s="13">
        <f>1.5+0.248+9.283+2.572+6.197+0.943</f>
      </c>
      <c r="I160" s="13">
        <f>(0.96*1.5+0.55*0.248+0.66*9.283+0.92*2.572+0.86*6.197+0.43*0.943)/$H160</f>
      </c>
      <c r="J160" s="13">
        <f>(0.13*1.5+0.31*0.248+1.32*9.283+1.36*2.572+1.74*6.197+1.61*0.943)/$H160</f>
      </c>
      <c r="K160" s="15">
        <f>(95.9*1.5+71.2*0.248+44.1*9.283+33.4*2.572+213.6*6.197+193.1*0.943)/$H160</f>
      </c>
      <c r="L160" s="13"/>
      <c r="M160" s="13"/>
      <c r="N160" s="15"/>
      <c r="O160" s="16"/>
      <c r="P160" s="13"/>
      <c r="Q160" s="13"/>
      <c r="R160" s="17"/>
      <c r="S160" s="13"/>
      <c r="T160" s="17"/>
      <c r="U160" s="13"/>
      <c r="V160" s="16"/>
      <c r="W160" s="13"/>
      <c r="X160" s="13"/>
      <c r="Y160" s="14"/>
      <c r="Z160" s="2"/>
      <c r="AA160" s="13">
        <f>H160*I160/100</f>
      </c>
      <c r="AB160" s="13">
        <f>H160*J160/100</f>
      </c>
      <c r="AC160" s="15">
        <f>H160*K160</f>
      </c>
      <c r="AD160" s="15">
        <f>H160*M160</f>
      </c>
      <c r="AE160" s="13">
        <f>H160*L160/100</f>
      </c>
      <c r="AF160" s="13">
        <f>AA160+AB160+AE160</f>
      </c>
      <c r="AG160" s="13">
        <f>I160+J160+L160</f>
      </c>
      <c r="AH160" s="18">
        <f>$H160*I160</f>
      </c>
      <c r="AI160" s="18">
        <f>$H160*J160</f>
      </c>
      <c r="AJ160" s="18">
        <f>$H160*K160</f>
      </c>
      <c r="AK160" s="18">
        <f>$H160*L160</f>
      </c>
      <c r="AL160" s="18">
        <f>$H160*M160</f>
      </c>
      <c r="AM160" s="14"/>
      <c r="AN160" s="14"/>
      <c r="AO160" s="14"/>
    </row>
    <row x14ac:dyDescent="0.25" r="161" customHeight="1" ht="17.25">
      <c r="A161" s="2" t="s">
        <v>399</v>
      </c>
      <c r="B161" s="2" t="s">
        <v>380</v>
      </c>
      <c r="C161" s="2" t="s">
        <v>56</v>
      </c>
      <c r="D161" s="2"/>
      <c r="E161" s="2" t="s">
        <v>52</v>
      </c>
      <c r="F161" s="2" t="s">
        <v>72</v>
      </c>
      <c r="G161" s="2" t="s">
        <v>73</v>
      </c>
      <c r="H161" s="13">
        <f>2.1+0.7+0.5+0.2+3.1</f>
      </c>
      <c r="I161" s="13">
        <f>(0.35*2.1+0.34*0.7+0.19*0.5+0.12*0.2+0.28*3.1)/$H161</f>
      </c>
      <c r="J161" s="13">
        <f>(2.85*2.1+2.55*0.7+2.16*0.5+1.47*0.2+2.53*3.1)/$H161</f>
      </c>
      <c r="K161" s="17">
        <f>(413*2.1+406*0.7+117*0.5+129*0.2+330*3.1)/$H161</f>
      </c>
      <c r="L161" s="13"/>
      <c r="M161" s="13"/>
      <c r="N161" s="15"/>
      <c r="O161" s="16"/>
      <c r="P161" s="13"/>
      <c r="Q161" s="13"/>
      <c r="R161" s="17"/>
      <c r="S161" s="13"/>
      <c r="T161" s="17"/>
      <c r="U161" s="13"/>
      <c r="V161" s="16"/>
      <c r="W161" s="13"/>
      <c r="X161" s="13"/>
      <c r="Y161" s="14"/>
      <c r="Z161" s="2"/>
      <c r="AA161" s="13">
        <f>H161*I161/100</f>
      </c>
      <c r="AB161" s="13">
        <f>H161*J161/100</f>
      </c>
      <c r="AC161" s="15">
        <f>H161*K161</f>
      </c>
      <c r="AD161" s="15">
        <f>H161*M161</f>
      </c>
      <c r="AE161" s="13">
        <f>H161*L161/100</f>
      </c>
      <c r="AF161" s="13">
        <f>AA161+AB161+AE161</f>
      </c>
      <c r="AG161" s="13">
        <f>I161+J161+L161</f>
      </c>
      <c r="AH161" s="18">
        <f>$H161*I161</f>
      </c>
      <c r="AI161" s="18">
        <f>$H161*J161</f>
      </c>
      <c r="AJ161" s="18">
        <f>$H161*K161</f>
      </c>
      <c r="AK161" s="18">
        <f>$H161*L161</f>
      </c>
      <c r="AL161" s="18">
        <f>$H161*M161</f>
      </c>
      <c r="AM161" s="14"/>
      <c r="AN161" s="14"/>
      <c r="AO161" s="14"/>
    </row>
    <row x14ac:dyDescent="0.25" r="162" customHeight="1" ht="17.25">
      <c r="A162" s="2" t="s">
        <v>400</v>
      </c>
      <c r="B162" s="2" t="s">
        <v>401</v>
      </c>
      <c r="C162" s="2" t="s">
        <v>40</v>
      </c>
      <c r="D162" s="2" t="s">
        <v>64</v>
      </c>
      <c r="E162" s="2" t="s">
        <v>52</v>
      </c>
      <c r="F162" s="2" t="s">
        <v>402</v>
      </c>
      <c r="G162" s="2" t="s">
        <v>103</v>
      </c>
      <c r="H162" s="13">
        <v>14.4</v>
      </c>
      <c r="I162" s="13">
        <v>0.76</v>
      </c>
      <c r="J162" s="13">
        <v>1.75</v>
      </c>
      <c r="K162" s="13">
        <v>6.93</v>
      </c>
      <c r="L162" s="13"/>
      <c r="M162" s="13"/>
      <c r="N162" s="15"/>
      <c r="O162" s="16"/>
      <c r="P162" s="13"/>
      <c r="Q162" s="13"/>
      <c r="R162" s="17"/>
      <c r="S162" s="13"/>
      <c r="T162" s="17"/>
      <c r="U162" s="13"/>
      <c r="V162" s="16"/>
      <c r="W162" s="13"/>
      <c r="X162" s="13"/>
      <c r="Y162" s="14"/>
      <c r="Z162" s="2"/>
      <c r="AA162" s="13">
        <f>H162*I162/100</f>
      </c>
      <c r="AB162" s="13">
        <f>H162*J162/100</f>
      </c>
      <c r="AC162" s="15">
        <f>H162*K162</f>
      </c>
      <c r="AD162" s="15">
        <f>H162*M162</f>
      </c>
      <c r="AE162" s="13">
        <f>H162*L162/100</f>
      </c>
      <c r="AF162" s="13">
        <f>AA162+AB162+AE162</f>
      </c>
      <c r="AG162" s="13">
        <f>I162+J162+L162</f>
      </c>
      <c r="AH162" s="18">
        <f>$H162*I162</f>
      </c>
      <c r="AI162" s="18">
        <f>$H162*J162</f>
      </c>
      <c r="AJ162" s="18">
        <f>$H162*K162</f>
      </c>
      <c r="AK162" s="18">
        <f>$H162*L162</f>
      </c>
      <c r="AL162" s="18">
        <f>$H162*M162</f>
      </c>
      <c r="AM162" s="14"/>
      <c r="AN162" s="14"/>
      <c r="AO162" s="14"/>
    </row>
    <row x14ac:dyDescent="0.25" r="163" customHeight="1" ht="17.25">
      <c r="A163" s="2" t="s">
        <v>403</v>
      </c>
      <c r="B163" s="2" t="s">
        <v>401</v>
      </c>
      <c r="C163" s="2" t="s">
        <v>40</v>
      </c>
      <c r="D163" s="2"/>
      <c r="E163" s="2" t="s">
        <v>52</v>
      </c>
      <c r="F163" s="2" t="s">
        <v>402</v>
      </c>
      <c r="G163" s="2" t="s">
        <v>103</v>
      </c>
      <c r="H163" s="13">
        <v>10.9</v>
      </c>
      <c r="I163" s="13">
        <v>1.4</v>
      </c>
      <c r="J163" s="13">
        <v>1.8</v>
      </c>
      <c r="K163" s="14"/>
      <c r="L163" s="13"/>
      <c r="M163" s="13"/>
      <c r="N163" s="15"/>
      <c r="O163" s="16"/>
      <c r="P163" s="13"/>
      <c r="Q163" s="13"/>
      <c r="R163" s="17"/>
      <c r="S163" s="13"/>
      <c r="T163" s="17"/>
      <c r="U163" s="13"/>
      <c r="V163" s="16"/>
      <c r="W163" s="13"/>
      <c r="X163" s="13"/>
      <c r="Y163" s="14"/>
      <c r="Z163" s="2"/>
      <c r="AA163" s="13">
        <f>H163*I163/100</f>
      </c>
      <c r="AB163" s="13">
        <f>H163*J163/100</f>
      </c>
      <c r="AC163" s="15">
        <f>H163*K163</f>
      </c>
      <c r="AD163" s="15">
        <f>H163*M163</f>
      </c>
      <c r="AE163" s="13">
        <f>H163*L163/100</f>
      </c>
      <c r="AF163" s="13">
        <f>AA163+AB163+AE163</f>
      </c>
      <c r="AG163" s="13">
        <f>I163+J163+L163</f>
      </c>
      <c r="AH163" s="18">
        <f>$H163*I163</f>
      </c>
      <c r="AI163" s="18">
        <f>$H163*J163</f>
      </c>
      <c r="AJ163" s="18">
        <f>$H163*K163</f>
      </c>
      <c r="AK163" s="18">
        <f>$H163*L163</f>
      </c>
      <c r="AL163" s="18">
        <f>$H163*M163</f>
      </c>
      <c r="AM163" s="14"/>
      <c r="AN163" s="14"/>
      <c r="AO163" s="14"/>
    </row>
    <row x14ac:dyDescent="0.25" r="164" customHeight="1" ht="17.25">
      <c r="A164" s="2" t="s">
        <v>404</v>
      </c>
      <c r="B164" s="2" t="s">
        <v>405</v>
      </c>
      <c r="C164" s="2" t="s">
        <v>50</v>
      </c>
      <c r="D164" s="2"/>
      <c r="E164" s="2" t="s">
        <v>52</v>
      </c>
      <c r="F164" s="2" t="s">
        <v>406</v>
      </c>
      <c r="G164" s="2" t="s">
        <v>407</v>
      </c>
      <c r="H164" s="13">
        <f>2.4+2.5+3.2+14.2+11.5</f>
      </c>
      <c r="I164" s="13">
        <f>(2.5*2.4+1.18*2.5+1.4*3.2+1.23*14.2+1.7*11.5)/$H164</f>
      </c>
      <c r="J164" s="13">
        <f>(7.15*2.4+3.5*2.5+3.9*3.2+3.39*14.2+5*11.5)/$H164</f>
      </c>
      <c r="K164" s="17">
        <f>(73*2.4+37*2.5+39*3.2+29*14.2+40*11.5)/$H164</f>
      </c>
      <c r="L164" s="13">
        <f>(0.51*2.4+1.36*2.5+0.8*3.2+0.07*14.2+0.1*11.5)/$H164</f>
      </c>
      <c r="M164" s="13">
        <f>(0.24*2.4+0.64*2.5+0.7*3.2+0.18*14.2+0.3*11.5)/$H164</f>
      </c>
      <c r="N164" s="15"/>
      <c r="O164" s="16"/>
      <c r="P164" s="13"/>
      <c r="Q164" s="13"/>
      <c r="R164" s="17"/>
      <c r="S164" s="13"/>
      <c r="T164" s="17"/>
      <c r="U164" s="13"/>
      <c r="V164" s="16"/>
      <c r="W164" s="13"/>
      <c r="X164" s="13"/>
      <c r="Y164" s="14"/>
      <c r="Z164" s="2"/>
      <c r="AA164" s="13">
        <f>H164*I164/100</f>
      </c>
      <c r="AB164" s="13">
        <f>H164*J164/100</f>
      </c>
      <c r="AC164" s="15">
        <f>H164*K164</f>
      </c>
      <c r="AD164" s="15">
        <f>H164*M164</f>
      </c>
      <c r="AE164" s="13">
        <f>H164*L164/100</f>
      </c>
      <c r="AF164" s="13">
        <f>AA164+AB164+AE164</f>
      </c>
      <c r="AG164" s="13">
        <f>I164+J164+L164</f>
      </c>
      <c r="AH164" s="18">
        <f>$H164*I164</f>
      </c>
      <c r="AI164" s="18">
        <f>$H164*J164</f>
      </c>
      <c r="AJ164" s="18">
        <f>$H164*K164</f>
      </c>
      <c r="AK164" s="18">
        <f>$H164*L164</f>
      </c>
      <c r="AL164" s="18">
        <f>$H164*M164</f>
      </c>
      <c r="AM164" s="14"/>
      <c r="AN164" s="14"/>
      <c r="AO164" s="14"/>
    </row>
    <row x14ac:dyDescent="0.25" r="165" customHeight="1" ht="17.25">
      <c r="A165" s="2" t="s">
        <v>408</v>
      </c>
      <c r="B165" s="2" t="s">
        <v>405</v>
      </c>
      <c r="C165" s="2" t="s">
        <v>40</v>
      </c>
      <c r="D165" s="2"/>
      <c r="E165" s="12" t="s">
        <v>42</v>
      </c>
      <c r="F165" s="2" t="s">
        <v>43</v>
      </c>
      <c r="G165" s="2" t="s">
        <v>409</v>
      </c>
      <c r="H165" s="14">
        <v>7</v>
      </c>
      <c r="I165" s="13">
        <v>4.7</v>
      </c>
      <c r="J165" s="13">
        <v>0.6</v>
      </c>
      <c r="K165" s="14">
        <v>30</v>
      </c>
      <c r="L165" s="13"/>
      <c r="M165" s="13"/>
      <c r="N165" s="15"/>
      <c r="O165" s="16"/>
      <c r="P165" s="13"/>
      <c r="Q165" s="13"/>
      <c r="R165" s="17"/>
      <c r="S165" s="13"/>
      <c r="T165" s="17"/>
      <c r="U165" s="13"/>
      <c r="V165" s="16"/>
      <c r="W165" s="13"/>
      <c r="X165" s="13"/>
      <c r="Y165" s="14"/>
      <c r="Z165" s="2"/>
      <c r="AA165" s="13">
        <f>H165*I165/100</f>
      </c>
      <c r="AB165" s="13">
        <f>H165*J165/100</f>
      </c>
      <c r="AC165" s="15">
        <f>H165*K165</f>
      </c>
      <c r="AD165" s="15">
        <f>H165*M165</f>
      </c>
      <c r="AE165" s="13">
        <f>H165*L165/100</f>
      </c>
      <c r="AF165" s="13">
        <f>AA165+AB165+AE165</f>
      </c>
      <c r="AG165" s="13">
        <f>I165+J165+L165</f>
      </c>
      <c r="AH165" s="18">
        <f>$H165*I165</f>
      </c>
      <c r="AI165" s="18">
        <f>$H165*J165</f>
      </c>
      <c r="AJ165" s="18">
        <f>$H165*K165</f>
      </c>
      <c r="AK165" s="18">
        <f>$H165*L165</f>
      </c>
      <c r="AL165" s="18">
        <f>$H165*M165</f>
      </c>
      <c r="AM165" s="14"/>
      <c r="AN165" s="14"/>
      <c r="AO165" s="14"/>
    </row>
    <row x14ac:dyDescent="0.25" r="166" customHeight="1" ht="17.25">
      <c r="A166" s="2" t="s">
        <v>410</v>
      </c>
      <c r="B166" s="2" t="s">
        <v>405</v>
      </c>
      <c r="C166" s="2" t="s">
        <v>40</v>
      </c>
      <c r="D166" s="2" t="s">
        <v>64</v>
      </c>
      <c r="E166" s="12" t="s">
        <v>42</v>
      </c>
      <c r="F166" s="2" t="s">
        <v>43</v>
      </c>
      <c r="G166" s="2" t="s">
        <v>409</v>
      </c>
      <c r="H166" s="13">
        <v>1.5</v>
      </c>
      <c r="I166" s="13">
        <v>3.5</v>
      </c>
      <c r="J166" s="13">
        <v>3.5</v>
      </c>
      <c r="K166" s="14">
        <v>60</v>
      </c>
      <c r="L166" s="13"/>
      <c r="M166" s="13"/>
      <c r="N166" s="15"/>
      <c r="O166" s="16"/>
      <c r="P166" s="13"/>
      <c r="Q166" s="13"/>
      <c r="R166" s="17"/>
      <c r="S166" s="13"/>
      <c r="T166" s="17"/>
      <c r="U166" s="13"/>
      <c r="V166" s="16"/>
      <c r="W166" s="13"/>
      <c r="X166" s="13"/>
      <c r="Y166" s="14"/>
      <c r="Z166" s="2"/>
      <c r="AA166" s="13">
        <f>H166*I166/100</f>
      </c>
      <c r="AB166" s="13">
        <f>H166*J166/100</f>
      </c>
      <c r="AC166" s="15">
        <f>H166*K166</f>
      </c>
      <c r="AD166" s="15">
        <f>H166*M166</f>
      </c>
      <c r="AE166" s="13">
        <f>H166*L166/100</f>
      </c>
      <c r="AF166" s="13">
        <f>AA166+AB166+AE166</f>
      </c>
      <c r="AG166" s="13">
        <f>I166+J166+L166</f>
      </c>
      <c r="AH166" s="18">
        <f>$H166*I166</f>
      </c>
      <c r="AI166" s="18">
        <f>$H166*J166</f>
      </c>
      <c r="AJ166" s="18">
        <f>$H166*K166</f>
      </c>
      <c r="AK166" s="18">
        <f>$H166*L166</f>
      </c>
      <c r="AL166" s="18">
        <f>$H166*M166</f>
      </c>
      <c r="AM166" s="14"/>
      <c r="AN166" s="14"/>
      <c r="AO166" s="14"/>
    </row>
    <row x14ac:dyDescent="0.25" r="167" customHeight="1" ht="17.25">
      <c r="A167" s="2" t="s">
        <v>411</v>
      </c>
      <c r="B167" s="2" t="s">
        <v>405</v>
      </c>
      <c r="C167" s="2" t="s">
        <v>40</v>
      </c>
      <c r="D167" s="2" t="s">
        <v>41</v>
      </c>
      <c r="E167" s="12" t="s">
        <v>42</v>
      </c>
      <c r="F167" s="2" t="s">
        <v>43</v>
      </c>
      <c r="G167" s="2" t="s">
        <v>46</v>
      </c>
      <c r="H167" s="14">
        <v>3</v>
      </c>
      <c r="I167" s="13"/>
      <c r="J167" s="13">
        <v>4.5</v>
      </c>
      <c r="K167" s="14"/>
      <c r="L167" s="13"/>
      <c r="M167" s="13"/>
      <c r="N167" s="15"/>
      <c r="O167" s="16"/>
      <c r="P167" s="13"/>
      <c r="Q167" s="13"/>
      <c r="R167" s="17"/>
      <c r="S167" s="13"/>
      <c r="T167" s="17"/>
      <c r="U167" s="13"/>
      <c r="V167" s="16"/>
      <c r="W167" s="13"/>
      <c r="X167" s="13"/>
      <c r="Y167" s="14"/>
      <c r="Z167" s="2"/>
      <c r="AA167" s="13">
        <f>H167*I167/100</f>
      </c>
      <c r="AB167" s="13">
        <f>H167*J167/100</f>
      </c>
      <c r="AC167" s="15">
        <f>H167*K167</f>
      </c>
      <c r="AD167" s="15">
        <f>H167*M167</f>
      </c>
      <c r="AE167" s="13">
        <f>H167*L167/100</f>
      </c>
      <c r="AF167" s="13">
        <f>AA167+AB167+AE167</f>
      </c>
      <c r="AG167" s="13">
        <f>I167+J167+L167</f>
      </c>
      <c r="AH167" s="18">
        <f>$H167*I167</f>
      </c>
      <c r="AI167" s="18">
        <f>$H167*J167</f>
      </c>
      <c r="AJ167" s="18">
        <f>$H167*K167</f>
      </c>
      <c r="AK167" s="18">
        <f>$H167*L167</f>
      </c>
      <c r="AL167" s="18">
        <f>$H167*M167</f>
      </c>
      <c r="AM167" s="14"/>
      <c r="AN167" s="14"/>
      <c r="AO167" s="14"/>
    </row>
    <row x14ac:dyDescent="0.25" r="168" customHeight="1" ht="17.25">
      <c r="A168" s="2" t="s">
        <v>412</v>
      </c>
      <c r="B168" s="2" t="s">
        <v>405</v>
      </c>
      <c r="C168" s="2" t="s">
        <v>40</v>
      </c>
      <c r="D168" s="2"/>
      <c r="E168" s="12" t="s">
        <v>42</v>
      </c>
      <c r="F168" s="2" t="s">
        <v>43</v>
      </c>
      <c r="G168" s="2" t="s">
        <v>409</v>
      </c>
      <c r="H168" s="13">
        <v>1.5</v>
      </c>
      <c r="I168" s="13"/>
      <c r="J168" s="13">
        <v>7.9</v>
      </c>
      <c r="K168" s="14">
        <v>120</v>
      </c>
      <c r="L168" s="13"/>
      <c r="M168" s="13"/>
      <c r="N168" s="15"/>
      <c r="O168" s="16"/>
      <c r="P168" s="13"/>
      <c r="Q168" s="13"/>
      <c r="R168" s="17"/>
      <c r="S168" s="13"/>
      <c r="T168" s="17"/>
      <c r="U168" s="13"/>
      <c r="V168" s="16"/>
      <c r="W168" s="13"/>
      <c r="X168" s="13"/>
      <c r="Y168" s="14"/>
      <c r="Z168" s="2"/>
      <c r="AA168" s="13">
        <f>H168*I168/100</f>
      </c>
      <c r="AB168" s="13">
        <f>H168*J168/100</f>
      </c>
      <c r="AC168" s="15">
        <f>H168*K168</f>
      </c>
      <c r="AD168" s="15">
        <f>H168*M168</f>
      </c>
      <c r="AE168" s="13">
        <f>H168*L168/100</f>
      </c>
      <c r="AF168" s="13">
        <f>AA168+AB168+AE168</f>
      </c>
      <c r="AG168" s="13">
        <f>I168+J168+L168</f>
      </c>
      <c r="AH168" s="18">
        <f>$H168*I168</f>
      </c>
      <c r="AI168" s="18">
        <f>$H168*J168</f>
      </c>
      <c r="AJ168" s="18">
        <f>$H168*K168</f>
      </c>
      <c r="AK168" s="18">
        <f>$H168*L168</f>
      </c>
      <c r="AL168" s="18">
        <f>$H168*M168</f>
      </c>
      <c r="AM168" s="14"/>
      <c r="AN168" s="14"/>
      <c r="AO168" s="14"/>
    </row>
    <row x14ac:dyDescent="0.25" r="169" customHeight="1" ht="17.25">
      <c r="A169" s="2" t="s">
        <v>413</v>
      </c>
      <c r="B169" s="2" t="s">
        <v>405</v>
      </c>
      <c r="C169" s="2" t="s">
        <v>40</v>
      </c>
      <c r="D169" s="2" t="s">
        <v>41</v>
      </c>
      <c r="E169" s="12" t="s">
        <v>42</v>
      </c>
      <c r="F169" s="2" t="s">
        <v>43</v>
      </c>
      <c r="G169" s="2" t="s">
        <v>46</v>
      </c>
      <c r="H169" s="13">
        <v>0.1</v>
      </c>
      <c r="I169" s="13">
        <v>7.5</v>
      </c>
      <c r="J169" s="15">
        <v>4</v>
      </c>
      <c r="K169" s="14"/>
      <c r="L169" s="13"/>
      <c r="M169" s="13"/>
      <c r="N169" s="15"/>
      <c r="O169" s="16"/>
      <c r="P169" s="13"/>
      <c r="Q169" s="13"/>
      <c r="R169" s="17"/>
      <c r="S169" s="13"/>
      <c r="T169" s="17"/>
      <c r="U169" s="13"/>
      <c r="V169" s="16"/>
      <c r="W169" s="13"/>
      <c r="X169" s="13"/>
      <c r="Y169" s="14"/>
      <c r="Z169" s="2"/>
      <c r="AA169" s="13">
        <f>H169*I169/100</f>
      </c>
      <c r="AB169" s="13">
        <f>H169*J169/100</f>
      </c>
      <c r="AC169" s="15">
        <f>H169*K169</f>
      </c>
      <c r="AD169" s="15">
        <f>H169*M169</f>
      </c>
      <c r="AE169" s="13">
        <f>H169*L169/100</f>
      </c>
      <c r="AF169" s="13">
        <f>AA169+AB169+AE169</f>
      </c>
      <c r="AG169" s="13">
        <f>I169+J169+L169</f>
      </c>
      <c r="AH169" s="18">
        <f>$H169*I169</f>
      </c>
      <c r="AI169" s="18">
        <f>$H169*J169</f>
      </c>
      <c r="AJ169" s="18">
        <f>$H169*K169</f>
      </c>
      <c r="AK169" s="18">
        <f>$H169*L169</f>
      </c>
      <c r="AL169" s="18">
        <f>$H169*M169</f>
      </c>
      <c r="AM169" s="14"/>
      <c r="AN169" s="14"/>
      <c r="AO169" s="14"/>
    </row>
    <row x14ac:dyDescent="0.25" r="170" customHeight="1" ht="17.25">
      <c r="A170" s="2" t="s">
        <v>414</v>
      </c>
      <c r="B170" s="2" t="s">
        <v>405</v>
      </c>
      <c r="C170" s="2" t="s">
        <v>40</v>
      </c>
      <c r="D170" s="2" t="s">
        <v>64</v>
      </c>
      <c r="E170" s="12" t="s">
        <v>42</v>
      </c>
      <c r="F170" s="2" t="s">
        <v>43</v>
      </c>
      <c r="G170" s="2" t="s">
        <v>415</v>
      </c>
      <c r="H170" s="13">
        <v>9.47</v>
      </c>
      <c r="I170" s="14">
        <v>2</v>
      </c>
      <c r="J170" s="13">
        <v>6.13</v>
      </c>
      <c r="K170" s="14"/>
      <c r="L170" s="13"/>
      <c r="M170" s="13"/>
      <c r="N170" s="15"/>
      <c r="O170" s="16"/>
      <c r="P170" s="13"/>
      <c r="Q170" s="13"/>
      <c r="R170" s="17"/>
      <c r="S170" s="13"/>
      <c r="T170" s="17"/>
      <c r="U170" s="13"/>
      <c r="V170" s="16"/>
      <c r="W170" s="13"/>
      <c r="X170" s="13"/>
      <c r="Y170" s="14"/>
      <c r="Z170" s="2"/>
      <c r="AA170" s="13">
        <f>H170*I170/100</f>
      </c>
      <c r="AB170" s="13">
        <f>H170*J170/100</f>
      </c>
      <c r="AC170" s="15">
        <f>H170*K170</f>
      </c>
      <c r="AD170" s="15">
        <f>H170*M170</f>
      </c>
      <c r="AE170" s="13">
        <f>H170*L170/100</f>
      </c>
      <c r="AF170" s="13">
        <f>AA170+AB170+AE170</f>
      </c>
      <c r="AG170" s="13">
        <f>I170+J170+L170</f>
      </c>
      <c r="AH170" s="18">
        <f>$H170*I170</f>
      </c>
      <c r="AI170" s="18">
        <f>$H170*J170</f>
      </c>
      <c r="AJ170" s="18">
        <f>$H170*K170</f>
      </c>
      <c r="AK170" s="18">
        <f>$H170*L170</f>
      </c>
      <c r="AL170" s="18">
        <f>$H170*M170</f>
      </c>
      <c r="AM170" s="14"/>
      <c r="AN170" s="14"/>
      <c r="AO170" s="14"/>
    </row>
    <row x14ac:dyDescent="0.25" r="171" customHeight="1" ht="17.25">
      <c r="A171" s="2" t="s">
        <v>416</v>
      </c>
      <c r="B171" s="2" t="s">
        <v>405</v>
      </c>
      <c r="C171" s="2" t="s">
        <v>40</v>
      </c>
      <c r="D171" s="2"/>
      <c r="E171" s="12" t="s">
        <v>42</v>
      </c>
      <c r="F171" s="2" t="s">
        <v>43</v>
      </c>
      <c r="G171" s="2" t="s">
        <v>417</v>
      </c>
      <c r="H171" s="13">
        <v>5.2</v>
      </c>
      <c r="I171" s="13">
        <v>6.3</v>
      </c>
      <c r="J171" s="13">
        <v>0.5</v>
      </c>
      <c r="K171" s="14">
        <v>33</v>
      </c>
      <c r="L171" s="13"/>
      <c r="M171" s="13"/>
      <c r="N171" s="15"/>
      <c r="O171" s="16"/>
      <c r="P171" s="13"/>
      <c r="Q171" s="13"/>
      <c r="R171" s="17"/>
      <c r="S171" s="13"/>
      <c r="T171" s="17"/>
      <c r="U171" s="13"/>
      <c r="V171" s="16"/>
      <c r="W171" s="13"/>
      <c r="X171" s="13"/>
      <c r="Y171" s="13">
        <v>0.001</v>
      </c>
      <c r="Z171" s="2" t="s">
        <v>418</v>
      </c>
      <c r="AA171" s="13">
        <f>H171*I171/100</f>
      </c>
      <c r="AB171" s="13">
        <f>H171*J171/100</f>
      </c>
      <c r="AC171" s="15">
        <f>H171*K171</f>
      </c>
      <c r="AD171" s="15">
        <f>H171*M171</f>
      </c>
      <c r="AE171" s="13">
        <f>H171*L171/100</f>
      </c>
      <c r="AF171" s="13">
        <f>AA171+AB171+AE171</f>
      </c>
      <c r="AG171" s="13">
        <f>I171+J171+L171</f>
      </c>
      <c r="AH171" s="18">
        <f>$H171*I171</f>
      </c>
      <c r="AI171" s="18">
        <f>$H171*J171</f>
      </c>
      <c r="AJ171" s="18">
        <f>$H171*K171</f>
      </c>
      <c r="AK171" s="18">
        <f>$H171*L171</f>
      </c>
      <c r="AL171" s="18">
        <f>$H171*M171</f>
      </c>
      <c r="AM171" s="14"/>
      <c r="AN171" s="14"/>
      <c r="AO171" s="14"/>
    </row>
    <row x14ac:dyDescent="0.25" r="172" customHeight="1" ht="17.25">
      <c r="A172" s="2" t="s">
        <v>419</v>
      </c>
      <c r="B172" s="2" t="s">
        <v>405</v>
      </c>
      <c r="C172" s="2" t="s">
        <v>50</v>
      </c>
      <c r="D172" s="2"/>
      <c r="E172" s="2" t="s">
        <v>52</v>
      </c>
      <c r="F172" s="2" t="s">
        <v>43</v>
      </c>
      <c r="G172" s="2" t="s">
        <v>420</v>
      </c>
      <c r="H172" s="16">
        <f>1.381+1.747+0.329+1.471+1.65+0.31232</f>
      </c>
      <c r="I172" s="13">
        <f>(1.41*1.381+1.38*1.747+1.17*0.329+0.32*1.471+0.2*4.46*1.65+0.2*3*0.31232)/H172</f>
      </c>
      <c r="J172" s="13">
        <f>(5.11*1.381+5.18*1.747+5.86*0.329+4.48*1.471+0.8*4.46*1.65+0.8*3*0.31232)/H172</f>
      </c>
      <c r="K172" s="15">
        <f>(33.4*1.381+31.88*1.747+22.57*0.329+28.19*1.471+16.6*1.65+0*0.31232)/H172</f>
      </c>
      <c r="L172" s="13">
        <f>(1.32*1.381+1.25*1.747+0.46*0.329+1.11*1.471+0.32*1.65+0.3*0.31232)/H172</f>
      </c>
      <c r="M172" s="13">
        <f>(0*1.381+0*1.747+0*0.329+0.12*1.471+0.04*1.65+0*0.31232)/H172</f>
      </c>
      <c r="N172" s="15"/>
      <c r="O172" s="16"/>
      <c r="P172" s="13"/>
      <c r="Q172" s="13"/>
      <c r="R172" s="17"/>
      <c r="S172" s="13"/>
      <c r="T172" s="17"/>
      <c r="U172" s="13"/>
      <c r="V172" s="16"/>
      <c r="W172" s="13"/>
      <c r="X172" s="13"/>
      <c r="Y172" s="16">
        <f>(0.012323*1.381+0.012371*1.747+0.01277*0.329+0.012433*1.471+0.00578*1.65+0*0.31232)/H172</f>
      </c>
      <c r="Z172" s="2" t="s">
        <v>418</v>
      </c>
      <c r="AA172" s="13">
        <f>H172*I172/100</f>
      </c>
      <c r="AB172" s="13">
        <f>H172*J172/100</f>
      </c>
      <c r="AC172" s="15">
        <f>H172*K172</f>
      </c>
      <c r="AD172" s="15">
        <f>H172*M172</f>
      </c>
      <c r="AE172" s="13">
        <f>H172*L172/100</f>
      </c>
      <c r="AF172" s="13">
        <f>AA172+AB172+AE172</f>
      </c>
      <c r="AG172" s="13">
        <f>I172+J172+L172</f>
      </c>
      <c r="AH172" s="18">
        <f>$H172*I172</f>
      </c>
      <c r="AI172" s="18">
        <f>$H172*J172</f>
      </c>
      <c r="AJ172" s="18">
        <f>$H172*K172</f>
      </c>
      <c r="AK172" s="18">
        <f>$H172*L172</f>
      </c>
      <c r="AL172" s="18">
        <f>$H172*M172</f>
      </c>
      <c r="AM172" s="14"/>
      <c r="AN172" s="14"/>
      <c r="AO172" s="14"/>
    </row>
    <row x14ac:dyDescent="0.25" r="173" customHeight="1" ht="17.25">
      <c r="A173" s="2" t="s">
        <v>421</v>
      </c>
      <c r="B173" s="2" t="s">
        <v>405</v>
      </c>
      <c r="C173" s="2" t="s">
        <v>40</v>
      </c>
      <c r="D173" s="2" t="s">
        <v>41</v>
      </c>
      <c r="E173" s="12" t="s">
        <v>42</v>
      </c>
      <c r="F173" s="2" t="s">
        <v>43</v>
      </c>
      <c r="G173" s="2" t="s">
        <v>46</v>
      </c>
      <c r="H173" s="13">
        <v>3.3</v>
      </c>
      <c r="I173" s="13">
        <v>4.13</v>
      </c>
      <c r="J173" s="13">
        <v>1.88</v>
      </c>
      <c r="K173" s="14"/>
      <c r="L173" s="13"/>
      <c r="M173" s="13"/>
      <c r="N173" s="15"/>
      <c r="O173" s="16"/>
      <c r="P173" s="13"/>
      <c r="Q173" s="13"/>
      <c r="R173" s="17"/>
      <c r="S173" s="13"/>
      <c r="T173" s="17"/>
      <c r="U173" s="13"/>
      <c r="V173" s="16"/>
      <c r="W173" s="13"/>
      <c r="X173" s="13"/>
      <c r="Y173" s="14"/>
      <c r="Z173" s="2"/>
      <c r="AA173" s="13">
        <f>H173*I173/100</f>
      </c>
      <c r="AB173" s="13">
        <f>H173*J173/100</f>
      </c>
      <c r="AC173" s="15">
        <f>H173*K173</f>
      </c>
      <c r="AD173" s="15">
        <f>H173*M173</f>
      </c>
      <c r="AE173" s="13">
        <f>H173*L173/100</f>
      </c>
      <c r="AF173" s="13">
        <f>AA173+AB173+AE173</f>
      </c>
      <c r="AG173" s="13">
        <f>I173+J173+L173</f>
      </c>
      <c r="AH173" s="18">
        <f>$H173*I173</f>
      </c>
      <c r="AI173" s="18">
        <f>$H173*J173</f>
      </c>
      <c r="AJ173" s="18">
        <f>$H173*K173</f>
      </c>
      <c r="AK173" s="18">
        <f>$H173*L173</f>
      </c>
      <c r="AL173" s="18">
        <f>$H173*M173</f>
      </c>
      <c r="AM173" s="14"/>
      <c r="AN173" s="14"/>
      <c r="AO173" s="14"/>
    </row>
    <row x14ac:dyDescent="0.25" r="174" customHeight="1" ht="17.25">
      <c r="A174" s="2" t="s">
        <v>422</v>
      </c>
      <c r="B174" s="2" t="s">
        <v>405</v>
      </c>
      <c r="C174" s="2" t="s">
        <v>40</v>
      </c>
      <c r="D174" s="2"/>
      <c r="E174" s="12" t="s">
        <v>42</v>
      </c>
      <c r="F174" s="2" t="s">
        <v>43</v>
      </c>
      <c r="G174" s="2" t="s">
        <v>409</v>
      </c>
      <c r="H174" s="14">
        <v>46</v>
      </c>
      <c r="I174" s="13">
        <v>1.3</v>
      </c>
      <c r="J174" s="13">
        <v>0.9</v>
      </c>
      <c r="K174" s="14">
        <v>12</v>
      </c>
      <c r="L174" s="13"/>
      <c r="M174" s="13"/>
      <c r="N174" s="15"/>
      <c r="O174" s="16"/>
      <c r="P174" s="13"/>
      <c r="Q174" s="13"/>
      <c r="R174" s="17"/>
      <c r="S174" s="13"/>
      <c r="T174" s="17"/>
      <c r="U174" s="13"/>
      <c r="V174" s="16"/>
      <c r="W174" s="13"/>
      <c r="X174" s="13"/>
      <c r="Y174" s="14"/>
      <c r="Z174" s="2"/>
      <c r="AA174" s="13">
        <f>H174*I174/100</f>
      </c>
      <c r="AB174" s="13">
        <f>H174*J174/100</f>
      </c>
      <c r="AC174" s="15">
        <f>H174*K174</f>
      </c>
      <c r="AD174" s="15">
        <f>H174*M174</f>
      </c>
      <c r="AE174" s="13">
        <f>H174*L174/100</f>
      </c>
      <c r="AF174" s="13">
        <f>AA174+AB174+AE174</f>
      </c>
      <c r="AG174" s="13">
        <f>I174+J174+L174</f>
      </c>
      <c r="AH174" s="18">
        <f>$H174*I174</f>
      </c>
      <c r="AI174" s="18">
        <f>$H174*J174</f>
      </c>
      <c r="AJ174" s="18">
        <f>$H174*K174</f>
      </c>
      <c r="AK174" s="18">
        <f>$H174*L174</f>
      </c>
      <c r="AL174" s="18">
        <f>$H174*M174</f>
      </c>
      <c r="AM174" s="14"/>
      <c r="AN174" s="14"/>
      <c r="AO174" s="14"/>
    </row>
    <row x14ac:dyDescent="0.25" r="175" customHeight="1" ht="17.25">
      <c r="A175" s="2" t="s">
        <v>423</v>
      </c>
      <c r="B175" s="2" t="s">
        <v>405</v>
      </c>
      <c r="C175" s="2" t="s">
        <v>40</v>
      </c>
      <c r="D175" s="2" t="s">
        <v>41</v>
      </c>
      <c r="E175" s="12" t="s">
        <v>42</v>
      </c>
      <c r="F175" s="2" t="s">
        <v>43</v>
      </c>
      <c r="G175" s="2" t="s">
        <v>46</v>
      </c>
      <c r="H175" s="15">
        <v>7</v>
      </c>
      <c r="I175" s="13">
        <v>1.4</v>
      </c>
      <c r="J175" s="13">
        <v>7.6</v>
      </c>
      <c r="K175" s="14"/>
      <c r="L175" s="13"/>
      <c r="M175" s="13"/>
      <c r="N175" s="15"/>
      <c r="O175" s="16"/>
      <c r="P175" s="13"/>
      <c r="Q175" s="13"/>
      <c r="R175" s="17"/>
      <c r="S175" s="13"/>
      <c r="T175" s="17"/>
      <c r="U175" s="13"/>
      <c r="V175" s="16"/>
      <c r="W175" s="13"/>
      <c r="X175" s="13"/>
      <c r="Y175" s="14"/>
      <c r="Z175" s="2"/>
      <c r="AA175" s="13">
        <f>H175*I175/100</f>
      </c>
      <c r="AB175" s="13">
        <f>H175*J175/100</f>
      </c>
      <c r="AC175" s="15">
        <f>H175*K175</f>
      </c>
      <c r="AD175" s="15">
        <f>H175*M175</f>
      </c>
      <c r="AE175" s="13">
        <f>H175*L175/100</f>
      </c>
      <c r="AF175" s="13">
        <f>AA175+AB175+AE175</f>
      </c>
      <c r="AG175" s="13">
        <f>I175+J175+L175</f>
      </c>
      <c r="AH175" s="18">
        <f>$H175*I175</f>
      </c>
      <c r="AI175" s="18">
        <f>$H175*J175</f>
      </c>
      <c r="AJ175" s="18">
        <f>$H175*K175</f>
      </c>
      <c r="AK175" s="18">
        <f>$H175*L175</f>
      </c>
      <c r="AL175" s="18">
        <f>$H175*M175</f>
      </c>
      <c r="AM175" s="14"/>
      <c r="AN175" s="14"/>
      <c r="AO175" s="14"/>
    </row>
    <row x14ac:dyDescent="0.25" r="176" customHeight="1" ht="17.25">
      <c r="A176" s="2" t="s">
        <v>424</v>
      </c>
      <c r="B176" s="2" t="s">
        <v>405</v>
      </c>
      <c r="C176" s="2" t="s">
        <v>40</v>
      </c>
      <c r="D176" s="2"/>
      <c r="E176" s="12" t="s">
        <v>42</v>
      </c>
      <c r="F176" s="2" t="s">
        <v>43</v>
      </c>
      <c r="G176" s="2" t="s">
        <v>425</v>
      </c>
      <c r="H176" s="13">
        <v>18.8</v>
      </c>
      <c r="I176" s="13"/>
      <c r="J176" s="13">
        <v>23.7</v>
      </c>
      <c r="K176" s="14"/>
      <c r="L176" s="13"/>
      <c r="M176" s="13"/>
      <c r="N176" s="15"/>
      <c r="O176" s="16"/>
      <c r="P176" s="13"/>
      <c r="Q176" s="13"/>
      <c r="R176" s="17"/>
      <c r="S176" s="13"/>
      <c r="T176" s="17"/>
      <c r="U176" s="13"/>
      <c r="V176" s="16"/>
      <c r="W176" s="13"/>
      <c r="X176" s="13"/>
      <c r="Y176" s="14"/>
      <c r="Z176" s="2"/>
      <c r="AA176" s="13">
        <f>H176*I176/100</f>
      </c>
      <c r="AB176" s="13">
        <f>H176*J176/100</f>
      </c>
      <c r="AC176" s="15">
        <f>H176*K176</f>
      </c>
      <c r="AD176" s="15">
        <f>H176*M176</f>
      </c>
      <c r="AE176" s="13">
        <f>H176*L176/100</f>
      </c>
      <c r="AF176" s="13">
        <f>AA176+AB176+AE176</f>
      </c>
      <c r="AG176" s="13">
        <f>I176+J176+L176</f>
      </c>
      <c r="AH176" s="18">
        <f>$H176*I176</f>
      </c>
      <c r="AI176" s="18">
        <f>$H176*J176</f>
      </c>
      <c r="AJ176" s="18">
        <f>$H176*K176</f>
      </c>
      <c r="AK176" s="18">
        <f>$H176*L176</f>
      </c>
      <c r="AL176" s="18">
        <f>$H176*M176</f>
      </c>
      <c r="AM176" s="14"/>
      <c r="AN176" s="14"/>
      <c r="AO176" s="14"/>
    </row>
    <row x14ac:dyDescent="0.25" r="177" customHeight="1" ht="17.25">
      <c r="A177" s="2" t="s">
        <v>426</v>
      </c>
      <c r="B177" s="2" t="s">
        <v>427</v>
      </c>
      <c r="C177" s="2" t="s">
        <v>50</v>
      </c>
      <c r="D177" s="2"/>
      <c r="E177" s="2" t="s">
        <v>52</v>
      </c>
      <c r="F177" s="2" t="s">
        <v>65</v>
      </c>
      <c r="G177" s="2" t="s">
        <v>66</v>
      </c>
      <c r="H177" s="13">
        <f>0.96+4.8+7.2</f>
      </c>
      <c r="I177" s="15">
        <f>(0*0.96+0.09*4.8+0.2*7.2)/$H177</f>
      </c>
      <c r="J177" s="15">
        <f>(15.1*0.96+10*4.8+9*7.2)/$H177</f>
      </c>
      <c r="K177" s="17">
        <f>(0*0.96+77*4.8+50*7.2)/$H177</f>
      </c>
      <c r="L177" s="13"/>
      <c r="M177" s="13"/>
      <c r="N177" s="15"/>
      <c r="O177" s="16"/>
      <c r="P177" s="13"/>
      <c r="Q177" s="13"/>
      <c r="R177" s="17"/>
      <c r="S177" s="13"/>
      <c r="T177" s="17"/>
      <c r="U177" s="13"/>
      <c r="V177" s="16"/>
      <c r="W177" s="13"/>
      <c r="X177" s="13"/>
      <c r="Y177" s="14"/>
      <c r="Z177" s="2"/>
      <c r="AA177" s="13">
        <f>H177*I177/100</f>
      </c>
      <c r="AB177" s="13">
        <f>H177*J177/100</f>
      </c>
      <c r="AC177" s="15">
        <f>H177*K177</f>
      </c>
      <c r="AD177" s="15">
        <f>H177*M177</f>
      </c>
      <c r="AE177" s="13">
        <f>H177*L177/100</f>
      </c>
      <c r="AF177" s="13">
        <f>AA177+AB177+AE177</f>
      </c>
      <c r="AG177" s="13">
        <f>I177+J177+L177</f>
      </c>
      <c r="AH177" s="18">
        <f>$H177*I177</f>
      </c>
      <c r="AI177" s="18">
        <f>$H177*J177</f>
      </c>
      <c r="AJ177" s="18">
        <f>$H177*K177</f>
      </c>
      <c r="AK177" s="18">
        <f>$H177*L177</f>
      </c>
      <c r="AL177" s="18">
        <f>$H177*M177</f>
      </c>
      <c r="AM177" s="14"/>
      <c r="AN177" s="14"/>
      <c r="AO177" s="14"/>
    </row>
    <row x14ac:dyDescent="0.25" r="178" customHeight="1" ht="17.25">
      <c r="A178" s="2" t="s">
        <v>428</v>
      </c>
      <c r="B178" s="2" t="s">
        <v>429</v>
      </c>
      <c r="C178" s="2" t="s">
        <v>50</v>
      </c>
      <c r="D178" s="2"/>
      <c r="E178" s="2" t="s">
        <v>52</v>
      </c>
      <c r="F178" s="2" t="s">
        <v>430</v>
      </c>
      <c r="G178" s="2" t="s">
        <v>431</v>
      </c>
      <c r="H178" s="16">
        <f>6.264198+1.821799+2.041146</f>
      </c>
      <c r="I178" s="13"/>
      <c r="J178" s="13">
        <f>(3.09*6.264198+2.98*1.821799+2.89*2.041146)/$H178</f>
      </c>
      <c r="K178" s="15">
        <f>(43.93*6.264198+94.75*1.821799+114.32*2.041146)/$H178</f>
      </c>
      <c r="L178" s="13"/>
      <c r="M178" s="13">
        <v>0.138</v>
      </c>
      <c r="N178" s="15"/>
      <c r="O178" s="16"/>
      <c r="P178" s="13"/>
      <c r="Q178" s="13"/>
      <c r="R178" s="17"/>
      <c r="S178" s="13"/>
      <c r="T178" s="17"/>
      <c r="U178" s="13"/>
      <c r="V178" s="16"/>
      <c r="W178" s="13"/>
      <c r="X178" s="13"/>
      <c r="Y178" s="14"/>
      <c r="Z178" s="2"/>
      <c r="AA178" s="13">
        <f>H178*I178/100</f>
      </c>
      <c r="AB178" s="13">
        <f>H178*J178/100</f>
      </c>
      <c r="AC178" s="15">
        <f>H178*K178</f>
      </c>
      <c r="AD178" s="15">
        <f>H178*M178</f>
      </c>
      <c r="AE178" s="13">
        <f>H178*L178/100</f>
      </c>
      <c r="AF178" s="13">
        <f>AA178+AB178+AE178</f>
      </c>
      <c r="AG178" s="13">
        <f>I178+J178+L178</f>
      </c>
      <c r="AH178" s="18">
        <f>$H178*I178</f>
      </c>
      <c r="AI178" s="18">
        <f>$H178*J178</f>
      </c>
      <c r="AJ178" s="18">
        <f>$H178*K178</f>
      </c>
      <c r="AK178" s="18">
        <f>$H178*L178</f>
      </c>
      <c r="AL178" s="18">
        <f>$H178*M178</f>
      </c>
      <c r="AM178" s="14"/>
      <c r="AN178" s="14"/>
      <c r="AO178" s="14"/>
    </row>
    <row x14ac:dyDescent="0.25" r="179" customHeight="1" ht="17.25">
      <c r="A179" s="2" t="s">
        <v>432</v>
      </c>
      <c r="B179" s="2" t="s">
        <v>429</v>
      </c>
      <c r="C179" s="2" t="s">
        <v>40</v>
      </c>
      <c r="D179" s="2" t="s">
        <v>64</v>
      </c>
      <c r="E179" s="2" t="s">
        <v>52</v>
      </c>
      <c r="F179" s="2" t="s">
        <v>433</v>
      </c>
      <c r="G179" s="2" t="s">
        <v>434</v>
      </c>
      <c r="H179" s="13">
        <f>20.088+48.102</f>
      </c>
      <c r="I179" s="13">
        <f>(1.31*20.088+0.83*48.102)/$H179</f>
      </c>
      <c r="J179" s="13">
        <f>(6.59*20.088+4.62*48.102)/$H179</f>
      </c>
      <c r="K179" s="15">
        <f>(11.2*20.088+8.1*48.102)/$H179</f>
      </c>
      <c r="L179" s="13"/>
      <c r="M179" s="13"/>
      <c r="N179" s="15"/>
      <c r="O179" s="16"/>
      <c r="P179" s="13"/>
      <c r="Q179" s="13"/>
      <c r="R179" s="17"/>
      <c r="S179" s="13"/>
      <c r="T179" s="17"/>
      <c r="U179" s="13"/>
      <c r="V179" s="16"/>
      <c r="W179" s="13"/>
      <c r="X179" s="13"/>
      <c r="Y179" s="14"/>
      <c r="Z179" s="2"/>
      <c r="AA179" s="13">
        <f>H179*I179/100</f>
      </c>
      <c r="AB179" s="13">
        <f>H179*J179/100</f>
      </c>
      <c r="AC179" s="15">
        <f>H179*K179</f>
      </c>
      <c r="AD179" s="15">
        <f>H179*M179</f>
      </c>
      <c r="AE179" s="13">
        <f>H179*L179/100</f>
      </c>
      <c r="AF179" s="13">
        <f>AA179+AB179+AE179</f>
      </c>
      <c r="AG179" s="13">
        <f>I179+J179+L179</f>
      </c>
      <c r="AH179" s="18">
        <f>$H179*I179</f>
      </c>
      <c r="AI179" s="18">
        <f>$H179*J179</f>
      </c>
      <c r="AJ179" s="18">
        <f>$H179*K179</f>
      </c>
      <c r="AK179" s="18">
        <f>$H179*L179</f>
      </c>
      <c r="AL179" s="18">
        <f>$H179*M179</f>
      </c>
      <c r="AM179" s="14"/>
      <c r="AN179" s="14"/>
      <c r="AO179" s="14"/>
    </row>
    <row x14ac:dyDescent="0.25" r="180" customHeight="1" ht="17.25">
      <c r="A180" s="2" t="s">
        <v>435</v>
      </c>
      <c r="B180" s="2" t="s">
        <v>429</v>
      </c>
      <c r="C180" s="2" t="s">
        <v>50</v>
      </c>
      <c r="D180" s="2"/>
      <c r="E180" s="12" t="s">
        <v>42</v>
      </c>
      <c r="F180" s="2" t="s">
        <v>436</v>
      </c>
      <c r="G180" s="2" t="s">
        <v>437</v>
      </c>
      <c r="H180" s="13">
        <f>1.7*0.9072</f>
      </c>
      <c r="I180" s="13"/>
      <c r="J180" s="15">
        <v>3</v>
      </c>
      <c r="K180" s="14"/>
      <c r="L180" s="13">
        <v>1.55</v>
      </c>
      <c r="M180" s="13"/>
      <c r="N180" s="15"/>
      <c r="O180" s="16"/>
      <c r="P180" s="13"/>
      <c r="Q180" s="13"/>
      <c r="R180" s="17"/>
      <c r="S180" s="13"/>
      <c r="T180" s="17"/>
      <c r="U180" s="13"/>
      <c r="V180" s="16"/>
      <c r="W180" s="13"/>
      <c r="X180" s="13"/>
      <c r="Y180" s="14"/>
      <c r="Z180" s="2"/>
      <c r="AA180" s="13">
        <f>H180*I180/100</f>
      </c>
      <c r="AB180" s="13">
        <f>H180*J180/100</f>
      </c>
      <c r="AC180" s="15">
        <f>H180*K180</f>
      </c>
      <c r="AD180" s="15">
        <f>H180*M180</f>
      </c>
      <c r="AE180" s="13">
        <f>H180*L180/100</f>
      </c>
      <c r="AF180" s="13">
        <f>AA180+AB180+AE180</f>
      </c>
      <c r="AG180" s="13">
        <f>I180+J180+L180</f>
      </c>
      <c r="AH180" s="18">
        <f>$H180*I180</f>
      </c>
      <c r="AI180" s="18">
        <f>$H180*J180</f>
      </c>
      <c r="AJ180" s="18">
        <f>$H180*K180</f>
      </c>
      <c r="AK180" s="18">
        <f>$H180*L180</f>
      </c>
      <c r="AL180" s="18">
        <f>$H180*M180</f>
      </c>
      <c r="AM180" s="14"/>
      <c r="AN180" s="14"/>
      <c r="AO180" s="14"/>
    </row>
    <row x14ac:dyDescent="0.25" r="181" customHeight="1" ht="17.25">
      <c r="A181" s="2" t="s">
        <v>438</v>
      </c>
      <c r="B181" s="2" t="s">
        <v>429</v>
      </c>
      <c r="C181" s="2" t="s">
        <v>40</v>
      </c>
      <c r="D181" s="2" t="s">
        <v>439</v>
      </c>
      <c r="E181" s="12" t="s">
        <v>42</v>
      </c>
      <c r="F181" s="2" t="s">
        <v>43</v>
      </c>
      <c r="G181" s="2" t="s">
        <v>440</v>
      </c>
      <c r="H181" s="16">
        <v>0.072431</v>
      </c>
      <c r="I181" s="13">
        <v>2.84</v>
      </c>
      <c r="J181" s="13">
        <v>6.03</v>
      </c>
      <c r="K181" s="13">
        <v>366.7</v>
      </c>
      <c r="L181" s="13"/>
      <c r="M181" s="13"/>
      <c r="N181" s="15"/>
      <c r="O181" s="16"/>
      <c r="P181" s="13"/>
      <c r="Q181" s="13"/>
      <c r="R181" s="17"/>
      <c r="S181" s="13"/>
      <c r="T181" s="17"/>
      <c r="U181" s="13"/>
      <c r="V181" s="16"/>
      <c r="W181" s="13"/>
      <c r="X181" s="13"/>
      <c r="Y181" s="14"/>
      <c r="Z181" s="2"/>
      <c r="AA181" s="13">
        <f>H181*I181/100</f>
      </c>
      <c r="AB181" s="13">
        <f>H181*J181/100</f>
      </c>
      <c r="AC181" s="15">
        <f>H181*K181</f>
      </c>
      <c r="AD181" s="15">
        <f>H181*M181</f>
      </c>
      <c r="AE181" s="13">
        <f>H181*L181/100</f>
      </c>
      <c r="AF181" s="13">
        <f>AA181+AB181+AE181</f>
      </c>
      <c r="AG181" s="13">
        <f>I181+J181+L181</f>
      </c>
      <c r="AH181" s="18">
        <f>$H181*I181</f>
      </c>
      <c r="AI181" s="18">
        <f>$H181*J181</f>
      </c>
      <c r="AJ181" s="18">
        <f>$H181*K181</f>
      </c>
      <c r="AK181" s="18">
        <f>$H181*L181</f>
      </c>
      <c r="AL181" s="18">
        <f>$H181*M181</f>
      </c>
      <c r="AM181" s="14"/>
      <c r="AN181" s="14"/>
      <c r="AO181" s="14"/>
    </row>
    <row x14ac:dyDescent="0.25" r="182" customHeight="1" ht="17.25">
      <c r="A182" s="2" t="s">
        <v>441</v>
      </c>
      <c r="B182" s="2" t="s">
        <v>429</v>
      </c>
      <c r="C182" s="2" t="s">
        <v>442</v>
      </c>
      <c r="D182" s="2"/>
      <c r="E182" s="2" t="s">
        <v>52</v>
      </c>
      <c r="F182" s="2" t="s">
        <v>443</v>
      </c>
      <c r="G182" s="2" t="s">
        <v>108</v>
      </c>
      <c r="H182" s="13">
        <v>7.762</v>
      </c>
      <c r="I182" s="13">
        <v>1.4</v>
      </c>
      <c r="J182" s="13">
        <v>5.8</v>
      </c>
      <c r="K182" s="13">
        <v>9.49</v>
      </c>
      <c r="L182" s="13"/>
      <c r="M182" s="13"/>
      <c r="N182" s="15"/>
      <c r="O182" s="16"/>
      <c r="P182" s="13"/>
      <c r="Q182" s="13"/>
      <c r="R182" s="17"/>
      <c r="S182" s="13"/>
      <c r="T182" s="17"/>
      <c r="U182" s="13"/>
      <c r="V182" s="16"/>
      <c r="W182" s="13"/>
      <c r="X182" s="13"/>
      <c r="Y182" s="13">
        <v>14.86</v>
      </c>
      <c r="Z182" s="2" t="s">
        <v>444</v>
      </c>
      <c r="AA182" s="13">
        <f>H182*I182/100</f>
      </c>
      <c r="AB182" s="13">
        <f>H182*J182/100</f>
      </c>
      <c r="AC182" s="15">
        <f>H182*K182</f>
      </c>
      <c r="AD182" s="15">
        <f>H182*M182</f>
      </c>
      <c r="AE182" s="13">
        <f>H182*L182/100</f>
      </c>
      <c r="AF182" s="13">
        <f>AA182+AB182+AE182</f>
      </c>
      <c r="AG182" s="13">
        <f>I182+J182+L182</f>
      </c>
      <c r="AH182" s="18">
        <f>$H182*I182</f>
      </c>
      <c r="AI182" s="18">
        <f>$H182*J182</f>
      </c>
      <c r="AJ182" s="18">
        <f>$H182*K182</f>
      </c>
      <c r="AK182" s="18">
        <f>$H182*L182</f>
      </c>
      <c r="AL182" s="18">
        <f>$H182*M182</f>
      </c>
      <c r="AM182" s="14"/>
      <c r="AN182" s="14"/>
      <c r="AO182" s="14"/>
    </row>
    <row x14ac:dyDescent="0.25" r="183" customHeight="1" ht="17.25">
      <c r="A183" s="2" t="s">
        <v>445</v>
      </c>
      <c r="B183" s="2" t="s">
        <v>429</v>
      </c>
      <c r="C183" s="2" t="s">
        <v>189</v>
      </c>
      <c r="D183" s="2"/>
      <c r="E183" s="12" t="s">
        <v>42</v>
      </c>
      <c r="F183" s="2" t="s">
        <v>43</v>
      </c>
      <c r="G183" s="2" t="s">
        <v>440</v>
      </c>
      <c r="H183" s="16">
        <v>0.113638</v>
      </c>
      <c r="I183" s="14">
        <v>5</v>
      </c>
      <c r="J183" s="15"/>
      <c r="K183" s="14">
        <v>600</v>
      </c>
      <c r="L183" s="13"/>
      <c r="M183" s="13"/>
      <c r="N183" s="15"/>
      <c r="O183" s="16"/>
      <c r="P183" s="13"/>
      <c r="Q183" s="13"/>
      <c r="R183" s="17"/>
      <c r="S183" s="13"/>
      <c r="T183" s="17"/>
      <c r="U183" s="13"/>
      <c r="V183" s="16"/>
      <c r="W183" s="13"/>
      <c r="X183" s="13"/>
      <c r="Y183" s="14"/>
      <c r="Z183" s="2"/>
      <c r="AA183" s="13">
        <f>H183*I183/100</f>
      </c>
      <c r="AB183" s="13">
        <f>H183*J183/100</f>
      </c>
      <c r="AC183" s="15">
        <f>H183*K183</f>
      </c>
      <c r="AD183" s="15">
        <f>H183*M183</f>
      </c>
      <c r="AE183" s="13">
        <f>H183*L183/100</f>
      </c>
      <c r="AF183" s="13">
        <f>AA183+AB183+AE183</f>
      </c>
      <c r="AG183" s="13">
        <f>I183+J183+L183</f>
      </c>
      <c r="AH183" s="18">
        <f>$H183*I183</f>
      </c>
      <c r="AI183" s="18">
        <f>$H183*J183</f>
      </c>
      <c r="AJ183" s="18">
        <f>$H183*K183</f>
      </c>
      <c r="AK183" s="18">
        <f>$H183*L183</f>
      </c>
      <c r="AL183" s="18">
        <f>$H183*M183</f>
      </c>
      <c r="AM183" s="14"/>
      <c r="AN183" s="14"/>
      <c r="AO183" s="14"/>
    </row>
    <row x14ac:dyDescent="0.25" r="184" customHeight="1" ht="17.25">
      <c r="A184" s="2" t="s">
        <v>446</v>
      </c>
      <c r="B184" s="2" t="s">
        <v>429</v>
      </c>
      <c r="C184" s="2" t="s">
        <v>50</v>
      </c>
      <c r="D184" s="2"/>
      <c r="E184" s="2" t="s">
        <v>52</v>
      </c>
      <c r="F184" s="2" t="s">
        <v>436</v>
      </c>
      <c r="G184" s="2" t="s">
        <v>407</v>
      </c>
      <c r="H184" s="16">
        <f>0.152826+0.123096</f>
      </c>
      <c r="I184" s="13"/>
      <c r="J184" s="13">
        <f>(5.26*0.152826+3.3*0.123096)/$H184</f>
      </c>
      <c r="K184" s="15">
        <f>(52.54*0.152826+42.5*0.123096)/$H184</f>
      </c>
      <c r="L184" s="13">
        <f>(1.05*0.152826+0.65*0.123096)/$H184</f>
      </c>
      <c r="M184" s="13">
        <f>(1.39*0.152826+1.2*0.123096)/$H184</f>
      </c>
      <c r="N184" s="15"/>
      <c r="O184" s="16"/>
      <c r="P184" s="13"/>
      <c r="Q184" s="13"/>
      <c r="R184" s="17"/>
      <c r="S184" s="13"/>
      <c r="T184" s="17"/>
      <c r="U184" s="13"/>
      <c r="V184" s="16"/>
      <c r="W184" s="13"/>
      <c r="X184" s="13"/>
      <c r="Y184" s="14"/>
      <c r="Z184" s="2"/>
      <c r="AA184" s="13">
        <f>H184*I184/100</f>
      </c>
      <c r="AB184" s="13">
        <f>H184*J184/100</f>
      </c>
      <c r="AC184" s="15">
        <f>H184*K184</f>
      </c>
      <c r="AD184" s="15">
        <f>H184*M184</f>
      </c>
      <c r="AE184" s="13">
        <f>H184*L184/100</f>
      </c>
      <c r="AF184" s="13">
        <f>AA184+AB184+AE184</f>
      </c>
      <c r="AG184" s="13">
        <f>I184+J184+L184</f>
      </c>
      <c r="AH184" s="18">
        <f>$H184*I184</f>
      </c>
      <c r="AI184" s="18">
        <f>$H184*J184</f>
      </c>
      <c r="AJ184" s="18">
        <f>$H184*K184</f>
      </c>
      <c r="AK184" s="18">
        <f>$H184*L184</f>
      </c>
      <c r="AL184" s="18">
        <f>$H184*M184</f>
      </c>
      <c r="AM184" s="14"/>
      <c r="AN184" s="14"/>
      <c r="AO184" s="14"/>
    </row>
    <row x14ac:dyDescent="0.25" r="185" customHeight="1" ht="17.25">
      <c r="A185" s="2" t="s">
        <v>447</v>
      </c>
      <c r="B185" s="2" t="s">
        <v>429</v>
      </c>
      <c r="C185" s="2" t="s">
        <v>50</v>
      </c>
      <c r="D185" s="2"/>
      <c r="E185" s="12" t="s">
        <v>42</v>
      </c>
      <c r="F185" s="2" t="s">
        <v>448</v>
      </c>
      <c r="G185" s="2" t="s">
        <v>449</v>
      </c>
      <c r="H185" s="16">
        <v>1.13625</v>
      </c>
      <c r="I185" s="13">
        <v>2.2</v>
      </c>
      <c r="J185" s="13">
        <v>5.1</v>
      </c>
      <c r="K185" s="14">
        <v>336</v>
      </c>
      <c r="L185" s="13"/>
      <c r="M185" s="13">
        <v>0.6</v>
      </c>
      <c r="N185" s="15"/>
      <c r="O185" s="16"/>
      <c r="P185" s="13"/>
      <c r="Q185" s="13"/>
      <c r="R185" s="17"/>
      <c r="S185" s="13"/>
      <c r="T185" s="17"/>
      <c r="U185" s="13"/>
      <c r="V185" s="16"/>
      <c r="W185" s="13"/>
      <c r="X185" s="13"/>
      <c r="Y185" s="14"/>
      <c r="Z185" s="2"/>
      <c r="AA185" s="13">
        <f>H185*I185/100</f>
      </c>
      <c r="AB185" s="13">
        <f>H185*J185/100</f>
      </c>
      <c r="AC185" s="15">
        <f>H185*K185</f>
      </c>
      <c r="AD185" s="15">
        <f>H185*M185</f>
      </c>
      <c r="AE185" s="13">
        <f>H185*L185/100</f>
      </c>
      <c r="AF185" s="13">
        <f>AA185+AB185+AE185</f>
      </c>
      <c r="AG185" s="13">
        <f>I185+J185+L185</f>
      </c>
      <c r="AH185" s="18">
        <f>$H185*I185</f>
      </c>
      <c r="AI185" s="18">
        <f>$H185*J185</f>
      </c>
      <c r="AJ185" s="18">
        <f>$H185*K185</f>
      </c>
      <c r="AK185" s="18">
        <f>$H185*L185</f>
      </c>
      <c r="AL185" s="18">
        <f>$H185*M185</f>
      </c>
      <c r="AM185" s="14"/>
      <c r="AN185" s="14"/>
      <c r="AO185" s="14"/>
    </row>
    <row x14ac:dyDescent="0.25" r="186" customHeight="1" ht="17.25">
      <c r="A186" s="2" t="s">
        <v>450</v>
      </c>
      <c r="B186" s="2" t="s">
        <v>429</v>
      </c>
      <c r="C186" s="2" t="s">
        <v>40</v>
      </c>
      <c r="D186" s="2" t="s">
        <v>41</v>
      </c>
      <c r="E186" s="12" t="s">
        <v>42</v>
      </c>
      <c r="F186" s="2" t="s">
        <v>43</v>
      </c>
      <c r="G186" s="2" t="s">
        <v>449</v>
      </c>
      <c r="H186" s="13">
        <v>9.07</v>
      </c>
      <c r="I186" s="13">
        <v>2.6</v>
      </c>
      <c r="J186" s="13">
        <v>5.4</v>
      </c>
      <c r="K186" s="13">
        <v>17.1</v>
      </c>
      <c r="L186" s="13"/>
      <c r="M186" s="13"/>
      <c r="N186" s="15"/>
      <c r="O186" s="16"/>
      <c r="P186" s="13"/>
      <c r="Q186" s="13"/>
      <c r="R186" s="17"/>
      <c r="S186" s="13"/>
      <c r="T186" s="17"/>
      <c r="U186" s="13"/>
      <c r="V186" s="16"/>
      <c r="W186" s="13"/>
      <c r="X186" s="13"/>
      <c r="Y186" s="14"/>
      <c r="Z186" s="2"/>
      <c r="AA186" s="13">
        <f>H186*I186/100</f>
      </c>
      <c r="AB186" s="13">
        <f>H186*J186/100</f>
      </c>
      <c r="AC186" s="15">
        <f>H186*K186</f>
      </c>
      <c r="AD186" s="15">
        <f>H186*M186</f>
      </c>
      <c r="AE186" s="13">
        <f>H186*L186/100</f>
      </c>
      <c r="AF186" s="13">
        <f>AA186+AB186+AE186</f>
      </c>
      <c r="AG186" s="13">
        <f>I186+J186+L186</f>
      </c>
      <c r="AH186" s="18">
        <f>$H186*I186</f>
      </c>
      <c r="AI186" s="18">
        <f>$H186*J186</f>
      </c>
      <c r="AJ186" s="18">
        <f>$H186*K186</f>
      </c>
      <c r="AK186" s="18">
        <f>$H186*L186</f>
      </c>
      <c r="AL186" s="18">
        <f>$H186*M186</f>
      </c>
      <c r="AM186" s="14"/>
      <c r="AN186" s="14"/>
      <c r="AO186" s="14"/>
    </row>
    <row x14ac:dyDescent="0.25" r="187" customHeight="1" ht="17.25">
      <c r="A187" s="2" t="s">
        <v>451</v>
      </c>
      <c r="B187" s="2" t="s">
        <v>429</v>
      </c>
      <c r="C187" s="2" t="s">
        <v>50</v>
      </c>
      <c r="D187" s="2"/>
      <c r="E187" s="2" t="s">
        <v>52</v>
      </c>
      <c r="F187" s="2" t="s">
        <v>436</v>
      </c>
      <c r="G187" s="2" t="s">
        <v>407</v>
      </c>
      <c r="H187" s="16">
        <v>0.066625</v>
      </c>
      <c r="I187" s="13"/>
      <c r="J187" s="13">
        <v>5.71</v>
      </c>
      <c r="K187" s="13">
        <v>19.22</v>
      </c>
      <c r="L187" s="13">
        <v>0.18</v>
      </c>
      <c r="M187" s="13">
        <v>1.05</v>
      </c>
      <c r="N187" s="15"/>
      <c r="O187" s="16"/>
      <c r="P187" s="13"/>
      <c r="Q187" s="13"/>
      <c r="R187" s="17"/>
      <c r="S187" s="13"/>
      <c r="T187" s="17"/>
      <c r="U187" s="13"/>
      <c r="V187" s="16"/>
      <c r="W187" s="13"/>
      <c r="X187" s="13"/>
      <c r="Y187" s="14"/>
      <c r="Z187" s="2"/>
      <c r="AA187" s="13">
        <f>H187*I187/100</f>
      </c>
      <c r="AB187" s="13">
        <f>H187*J187/100</f>
      </c>
      <c r="AC187" s="15">
        <f>H187*K187</f>
      </c>
      <c r="AD187" s="15">
        <f>H187*M187</f>
      </c>
      <c r="AE187" s="13">
        <f>H187*L187/100</f>
      </c>
      <c r="AF187" s="13">
        <f>AA187+AB187+AE187</f>
      </c>
      <c r="AG187" s="13">
        <f>I187+J187+L187</f>
      </c>
      <c r="AH187" s="18">
        <f>$H187*I187</f>
      </c>
      <c r="AI187" s="18">
        <f>$H187*J187</f>
      </c>
      <c r="AJ187" s="18">
        <f>$H187*K187</f>
      </c>
      <c r="AK187" s="18">
        <f>$H187*L187</f>
      </c>
      <c r="AL187" s="18">
        <f>$H187*M187</f>
      </c>
      <c r="AM187" s="14"/>
      <c r="AN187" s="14"/>
      <c r="AO187" s="14"/>
    </row>
    <row x14ac:dyDescent="0.25" r="188" customHeight="1" ht="17.25">
      <c r="A188" s="2" t="s">
        <v>452</v>
      </c>
      <c r="B188" s="2" t="s">
        <v>429</v>
      </c>
      <c r="C188" s="2" t="s">
        <v>40</v>
      </c>
      <c r="D188" s="2" t="s">
        <v>453</v>
      </c>
      <c r="E188" s="12" t="s">
        <v>42</v>
      </c>
      <c r="F188" s="2" t="s">
        <v>43</v>
      </c>
      <c r="G188" s="2" t="s">
        <v>440</v>
      </c>
      <c r="H188" s="14">
        <v>5</v>
      </c>
      <c r="I188" s="13">
        <v>2.3</v>
      </c>
      <c r="J188" s="13">
        <v>0.6</v>
      </c>
      <c r="K188" s="14">
        <v>7</v>
      </c>
      <c r="L188" s="13"/>
      <c r="M188" s="13"/>
      <c r="N188" s="15"/>
      <c r="O188" s="16"/>
      <c r="P188" s="13"/>
      <c r="Q188" s="13"/>
      <c r="R188" s="17"/>
      <c r="S188" s="13"/>
      <c r="T188" s="17"/>
      <c r="U188" s="13"/>
      <c r="V188" s="16"/>
      <c r="W188" s="13"/>
      <c r="X188" s="13"/>
      <c r="Y188" s="14"/>
      <c r="Z188" s="2"/>
      <c r="AA188" s="13">
        <f>H188*I188/100</f>
      </c>
      <c r="AB188" s="13">
        <f>H188*J188/100</f>
      </c>
      <c r="AC188" s="15">
        <f>H188*K188</f>
      </c>
      <c r="AD188" s="15">
        <f>H188*M188</f>
      </c>
      <c r="AE188" s="13">
        <f>H188*L188/100</f>
      </c>
      <c r="AF188" s="13">
        <f>AA188+AB188+AE188</f>
      </c>
      <c r="AG188" s="13">
        <f>I188+J188+L188</f>
      </c>
      <c r="AH188" s="18">
        <f>$H188*I188</f>
      </c>
      <c r="AI188" s="18">
        <f>$H188*J188</f>
      </c>
      <c r="AJ188" s="18">
        <f>$H188*K188</f>
      </c>
      <c r="AK188" s="18">
        <f>$H188*L188</f>
      </c>
      <c r="AL188" s="18">
        <f>$H188*M188</f>
      </c>
      <c r="AM188" s="14"/>
      <c r="AN188" s="14"/>
      <c r="AO188" s="14"/>
    </row>
    <row x14ac:dyDescent="0.25" r="189" customHeight="1" ht="17.25">
      <c r="A189" s="2" t="s">
        <v>454</v>
      </c>
      <c r="B189" s="2" t="s">
        <v>429</v>
      </c>
      <c r="C189" s="2" t="s">
        <v>50</v>
      </c>
      <c r="D189" s="2"/>
      <c r="E189" s="12" t="s">
        <v>42</v>
      </c>
      <c r="F189" s="2" t="s">
        <v>455</v>
      </c>
      <c r="G189" s="2" t="s">
        <v>456</v>
      </c>
      <c r="H189" s="16">
        <v>1.388915</v>
      </c>
      <c r="I189" s="13"/>
      <c r="J189" s="13">
        <v>3.17</v>
      </c>
      <c r="K189" s="14"/>
      <c r="L189" s="13"/>
      <c r="M189" s="13">
        <v>1.77</v>
      </c>
      <c r="N189" s="15"/>
      <c r="O189" s="16"/>
      <c r="P189" s="13"/>
      <c r="Q189" s="13"/>
      <c r="R189" s="17"/>
      <c r="S189" s="13"/>
      <c r="T189" s="17"/>
      <c r="U189" s="13"/>
      <c r="V189" s="16"/>
      <c r="W189" s="13"/>
      <c r="X189" s="13"/>
      <c r="Y189" s="14"/>
      <c r="Z189" s="2"/>
      <c r="AA189" s="13">
        <f>H189*I189/100</f>
      </c>
      <c r="AB189" s="13">
        <f>H189*J189/100</f>
      </c>
      <c r="AC189" s="15">
        <f>H189*K189</f>
      </c>
      <c r="AD189" s="15">
        <f>H189*M189</f>
      </c>
      <c r="AE189" s="13">
        <f>H189*L189/100</f>
      </c>
      <c r="AF189" s="13">
        <f>AA189+AB189+AE189</f>
      </c>
      <c r="AG189" s="13">
        <f>I189+J189+L189</f>
      </c>
      <c r="AH189" s="18">
        <f>$H189*I189</f>
      </c>
      <c r="AI189" s="18">
        <f>$H189*J189</f>
      </c>
      <c r="AJ189" s="18">
        <f>$H189*K189</f>
      </c>
      <c r="AK189" s="18">
        <f>$H189*L189</f>
      </c>
      <c r="AL189" s="18">
        <f>$H189*M189</f>
      </c>
      <c r="AM189" s="14"/>
      <c r="AN189" s="14"/>
      <c r="AO189" s="14"/>
    </row>
    <row x14ac:dyDescent="0.25" r="190" customHeight="1" ht="17.25">
      <c r="A190" s="2" t="s">
        <v>457</v>
      </c>
      <c r="B190" s="2" t="s">
        <v>429</v>
      </c>
      <c r="C190" s="2" t="s">
        <v>50</v>
      </c>
      <c r="D190" s="2"/>
      <c r="E190" s="12" t="s">
        <v>42</v>
      </c>
      <c r="F190" s="2" t="s">
        <v>455</v>
      </c>
      <c r="G190" s="2" t="s">
        <v>456</v>
      </c>
      <c r="H190" s="16">
        <v>0.259637</v>
      </c>
      <c r="I190" s="13"/>
      <c r="J190" s="13">
        <v>3.05</v>
      </c>
      <c r="K190" s="14"/>
      <c r="L190" s="13"/>
      <c r="M190" s="13">
        <v>0.58</v>
      </c>
      <c r="N190" s="15"/>
      <c r="O190" s="16"/>
      <c r="P190" s="13"/>
      <c r="Q190" s="13"/>
      <c r="R190" s="17"/>
      <c r="S190" s="13"/>
      <c r="T190" s="17"/>
      <c r="U190" s="13"/>
      <c r="V190" s="16"/>
      <c r="W190" s="13"/>
      <c r="X190" s="13"/>
      <c r="Y190" s="14"/>
      <c r="Z190" s="2"/>
      <c r="AA190" s="13">
        <f>H190*I190/100</f>
      </c>
      <c r="AB190" s="13">
        <f>H190*J190/100</f>
      </c>
      <c r="AC190" s="15">
        <f>H190*K190</f>
      </c>
      <c r="AD190" s="15">
        <f>H190*M190</f>
      </c>
      <c r="AE190" s="13">
        <f>H190*L190/100</f>
      </c>
      <c r="AF190" s="13">
        <f>AA190+AB190+AE190</f>
      </c>
      <c r="AG190" s="13">
        <f>I190+J190+L190</f>
      </c>
      <c r="AH190" s="18">
        <f>$H190*I190</f>
      </c>
      <c r="AI190" s="18">
        <f>$H190*J190</f>
      </c>
      <c r="AJ190" s="18">
        <f>$H190*K190</f>
      </c>
      <c r="AK190" s="18">
        <f>$H190*L190</f>
      </c>
      <c r="AL190" s="18">
        <f>$H190*M190</f>
      </c>
      <c r="AM190" s="14"/>
      <c r="AN190" s="14"/>
      <c r="AO190" s="14"/>
    </row>
    <row x14ac:dyDescent="0.25" r="191" customHeight="1" ht="17.25">
      <c r="A191" s="2" t="s">
        <v>458</v>
      </c>
      <c r="B191" s="2" t="s">
        <v>429</v>
      </c>
      <c r="C191" s="2" t="s">
        <v>40</v>
      </c>
      <c r="D191" s="2" t="s">
        <v>363</v>
      </c>
      <c r="E191" s="12" t="s">
        <v>42</v>
      </c>
      <c r="F191" s="2" t="s">
        <v>43</v>
      </c>
      <c r="G191" s="2" t="s">
        <v>440</v>
      </c>
      <c r="H191" s="16">
        <v>2.7213</v>
      </c>
      <c r="I191" s="13">
        <v>3.66</v>
      </c>
      <c r="J191" s="13"/>
      <c r="K191" s="13">
        <v>36.3</v>
      </c>
      <c r="L191" s="13"/>
      <c r="M191" s="13"/>
      <c r="N191" s="15"/>
      <c r="O191" s="16"/>
      <c r="P191" s="13"/>
      <c r="Q191" s="13"/>
      <c r="R191" s="17"/>
      <c r="S191" s="13"/>
      <c r="T191" s="17"/>
      <c r="U191" s="13"/>
      <c r="V191" s="16"/>
      <c r="W191" s="13"/>
      <c r="X191" s="13"/>
      <c r="Y191" s="14"/>
      <c r="Z191" s="2"/>
      <c r="AA191" s="13">
        <f>H191*I191/100</f>
      </c>
      <c r="AB191" s="13">
        <f>H191*J191/100</f>
      </c>
      <c r="AC191" s="15">
        <f>H191*K191</f>
      </c>
      <c r="AD191" s="15">
        <f>H191*M191</f>
      </c>
      <c r="AE191" s="13">
        <f>H191*L191/100</f>
      </c>
      <c r="AF191" s="13">
        <f>AA191+AB191+AE191</f>
      </c>
      <c r="AG191" s="13">
        <f>I191+J191+L191</f>
      </c>
      <c r="AH191" s="18">
        <f>$H191*I191</f>
      </c>
      <c r="AI191" s="18">
        <f>$H191*J191</f>
      </c>
      <c r="AJ191" s="18">
        <f>$H191*K191</f>
      </c>
      <c r="AK191" s="18">
        <f>$H191*L191</f>
      </c>
      <c r="AL191" s="18">
        <f>$H191*M191</f>
      </c>
      <c r="AM191" s="14"/>
      <c r="AN191" s="14"/>
      <c r="AO191" s="14"/>
    </row>
    <row x14ac:dyDescent="0.25" r="192" customHeight="1" ht="17.25">
      <c r="A192" s="2" t="s">
        <v>459</v>
      </c>
      <c r="B192" s="2" t="s">
        <v>429</v>
      </c>
      <c r="C192" s="2" t="s">
        <v>50</v>
      </c>
      <c r="D192" s="2"/>
      <c r="E192" s="2" t="s">
        <v>52</v>
      </c>
      <c r="F192" s="2" t="s">
        <v>460</v>
      </c>
      <c r="G192" s="2" t="s">
        <v>461</v>
      </c>
      <c r="H192" s="13">
        <f>0.231+0.728</f>
      </c>
      <c r="I192" s="13">
        <f>(1.2*0.231+2.42*0.728)/$H192</f>
      </c>
      <c r="J192" s="13">
        <f>(3.22*0.231+5.61*0.728)/$H192</f>
      </c>
      <c r="K192" s="17">
        <f>(152*0.231+185*0.728)/$H192</f>
      </c>
      <c r="L192" s="13">
        <f>(0.38*0.231+0.34*0.728)/$H192</f>
      </c>
      <c r="M192" s="15">
        <f>(2.9*0.231+3.9*0.728)/$H192</f>
      </c>
      <c r="N192" s="15"/>
      <c r="O192" s="16"/>
      <c r="P192" s="13"/>
      <c r="Q192" s="13"/>
      <c r="R192" s="17"/>
      <c r="S192" s="13"/>
      <c r="T192" s="17"/>
      <c r="U192" s="13"/>
      <c r="V192" s="16"/>
      <c r="W192" s="13"/>
      <c r="X192" s="13"/>
      <c r="Y192" s="14"/>
      <c r="Z192" s="2"/>
      <c r="AA192" s="13">
        <f>H192*I192/100</f>
      </c>
      <c r="AB192" s="13">
        <f>H192*J192/100</f>
      </c>
      <c r="AC192" s="15">
        <f>H192*K192</f>
      </c>
      <c r="AD192" s="15">
        <f>H192*M192</f>
      </c>
      <c r="AE192" s="13">
        <f>H192*L192/100</f>
      </c>
      <c r="AF192" s="13">
        <f>AA192+AB192+AE192</f>
      </c>
      <c r="AG192" s="13">
        <f>I192+J192+L192</f>
      </c>
      <c r="AH192" s="18">
        <f>$H192*I192</f>
      </c>
      <c r="AI192" s="18">
        <f>$H192*J192</f>
      </c>
      <c r="AJ192" s="18">
        <f>$H192*K192</f>
      </c>
      <c r="AK192" s="18">
        <f>$H192*L192</f>
      </c>
      <c r="AL192" s="18">
        <f>$H192*M192</f>
      </c>
      <c r="AM192" s="14"/>
      <c r="AN192" s="14"/>
      <c r="AO192" s="14"/>
    </row>
    <row x14ac:dyDescent="0.25" r="193" customHeight="1" ht="17.25">
      <c r="A193" s="2" t="s">
        <v>462</v>
      </c>
      <c r="B193" s="2" t="s">
        <v>429</v>
      </c>
      <c r="C193" s="2" t="s">
        <v>40</v>
      </c>
      <c r="D193" s="2" t="s">
        <v>64</v>
      </c>
      <c r="E193" s="12" t="s">
        <v>42</v>
      </c>
      <c r="F193" s="2" t="s">
        <v>43</v>
      </c>
      <c r="G193" s="2" t="s">
        <v>463</v>
      </c>
      <c r="H193" s="13">
        <v>6.5</v>
      </c>
      <c r="I193" s="13"/>
      <c r="J193" s="14">
        <v>4</v>
      </c>
      <c r="K193" s="14"/>
      <c r="L193" s="13"/>
      <c r="M193" s="13"/>
      <c r="N193" s="15"/>
      <c r="O193" s="16"/>
      <c r="P193" s="13"/>
      <c r="Q193" s="13"/>
      <c r="R193" s="17"/>
      <c r="S193" s="13"/>
      <c r="T193" s="17"/>
      <c r="U193" s="13"/>
      <c r="V193" s="16"/>
      <c r="W193" s="13"/>
      <c r="X193" s="13"/>
      <c r="Y193" s="14"/>
      <c r="Z193" s="2"/>
      <c r="AA193" s="13">
        <f>H193*I193/100</f>
      </c>
      <c r="AB193" s="13">
        <f>H193*J193/100</f>
      </c>
      <c r="AC193" s="15">
        <f>H193*K193</f>
      </c>
      <c r="AD193" s="15">
        <f>H193*M193</f>
      </c>
      <c r="AE193" s="13">
        <f>H193*L193/100</f>
      </c>
      <c r="AF193" s="13">
        <f>AA193+AB193+AE193</f>
      </c>
      <c r="AG193" s="13">
        <f>I193+J193+L193</f>
      </c>
      <c r="AH193" s="18">
        <f>$H193*I193</f>
      </c>
      <c r="AI193" s="18">
        <f>$H193*J193</f>
      </c>
      <c r="AJ193" s="18">
        <f>$H193*K193</f>
      </c>
      <c r="AK193" s="18">
        <f>$H193*L193</f>
      </c>
      <c r="AL193" s="18">
        <f>$H193*M193</f>
      </c>
      <c r="AM193" s="14"/>
      <c r="AN193" s="14"/>
      <c r="AO193" s="14"/>
    </row>
    <row x14ac:dyDescent="0.25" r="194" customHeight="1" ht="17.25">
      <c r="A194" s="2" t="s">
        <v>464</v>
      </c>
      <c r="B194" s="2" t="s">
        <v>429</v>
      </c>
      <c r="C194" s="2" t="s">
        <v>40</v>
      </c>
      <c r="D194" s="2" t="s">
        <v>41</v>
      </c>
      <c r="E194" s="12" t="s">
        <v>42</v>
      </c>
      <c r="F194" s="2" t="s">
        <v>465</v>
      </c>
      <c r="G194" s="2" t="s">
        <v>386</v>
      </c>
      <c r="H194" s="16">
        <f>0.04874*0.9072</f>
      </c>
      <c r="I194" s="13">
        <v>7.94</v>
      </c>
      <c r="J194" s="13">
        <v>6.74</v>
      </c>
      <c r="K194" s="13">
        <v>161.1</v>
      </c>
      <c r="L194" s="13"/>
      <c r="M194" s="15">
        <f>0.13*31.1/0.9072</f>
      </c>
      <c r="N194" s="15"/>
      <c r="O194" s="16"/>
      <c r="P194" s="13"/>
      <c r="Q194" s="13"/>
      <c r="R194" s="17"/>
      <c r="S194" s="13"/>
      <c r="T194" s="17"/>
      <c r="U194" s="13"/>
      <c r="V194" s="16"/>
      <c r="W194" s="13"/>
      <c r="X194" s="13"/>
      <c r="Y194" s="14"/>
      <c r="Z194" s="2"/>
      <c r="AA194" s="13">
        <f>H194*I194/100</f>
      </c>
      <c r="AB194" s="13">
        <f>H194*J194/100</f>
      </c>
      <c r="AC194" s="15">
        <f>H194*K194</f>
      </c>
      <c r="AD194" s="15">
        <f>H194*M194</f>
      </c>
      <c r="AE194" s="13">
        <f>H194*L194/100</f>
      </c>
      <c r="AF194" s="13">
        <f>AA194+AB194+AE194</f>
      </c>
      <c r="AG194" s="13">
        <f>I194+J194+L194</f>
      </c>
      <c r="AH194" s="18">
        <f>$H194*I194</f>
      </c>
      <c r="AI194" s="18">
        <f>$H194*J194</f>
      </c>
      <c r="AJ194" s="18">
        <f>$H194*K194</f>
      </c>
      <c r="AK194" s="18">
        <f>$H194*L194</f>
      </c>
      <c r="AL194" s="18">
        <f>$H194*M194</f>
      </c>
      <c r="AM194" s="14"/>
      <c r="AN194" s="14"/>
      <c r="AO194" s="14"/>
    </row>
    <row x14ac:dyDescent="0.25" r="195" customHeight="1" ht="17.25">
      <c r="A195" s="2" t="s">
        <v>466</v>
      </c>
      <c r="B195" s="2" t="s">
        <v>429</v>
      </c>
      <c r="C195" s="2" t="s">
        <v>40</v>
      </c>
      <c r="D195" s="2" t="s">
        <v>41</v>
      </c>
      <c r="E195" s="2" t="s">
        <v>52</v>
      </c>
      <c r="F195" s="2" t="s">
        <v>467</v>
      </c>
      <c r="G195" s="2" t="s">
        <v>468</v>
      </c>
      <c r="H195" s="13">
        <v>19.6</v>
      </c>
      <c r="I195" s="13">
        <v>2.8</v>
      </c>
      <c r="J195" s="13">
        <v>3.04</v>
      </c>
      <c r="K195" s="15">
        <v>56</v>
      </c>
      <c r="L195" s="13"/>
      <c r="M195" s="13"/>
      <c r="N195" s="15"/>
      <c r="O195" s="16"/>
      <c r="P195" s="13"/>
      <c r="Q195" s="13"/>
      <c r="R195" s="17"/>
      <c r="S195" s="13"/>
      <c r="T195" s="17"/>
      <c r="U195" s="13"/>
      <c r="V195" s="16"/>
      <c r="W195" s="13"/>
      <c r="X195" s="13"/>
      <c r="Y195" s="14"/>
      <c r="Z195" s="2"/>
      <c r="AA195" s="13">
        <f>H195*I195/100</f>
      </c>
      <c r="AB195" s="13">
        <f>H195*J195/100</f>
      </c>
      <c r="AC195" s="15">
        <f>H195*K195</f>
      </c>
      <c r="AD195" s="15">
        <f>H195*M195</f>
      </c>
      <c r="AE195" s="13">
        <f>H195*L195/100</f>
      </c>
      <c r="AF195" s="13">
        <f>AA195+AB195+AE195</f>
      </c>
      <c r="AG195" s="13">
        <f>I195+J195+L195</f>
      </c>
      <c r="AH195" s="18">
        <f>$H195*I195</f>
      </c>
      <c r="AI195" s="18">
        <f>$H195*J195</f>
      </c>
      <c r="AJ195" s="18">
        <f>$H195*K195</f>
      </c>
      <c r="AK195" s="18">
        <f>$H195*L195</f>
      </c>
      <c r="AL195" s="18">
        <f>$H195*M195</f>
      </c>
      <c r="AM195" s="14"/>
      <c r="AN195" s="14"/>
      <c r="AO195" s="14"/>
    </row>
    <row x14ac:dyDescent="0.25" r="196" customHeight="1" ht="17.25">
      <c r="A196" s="2" t="s">
        <v>469</v>
      </c>
      <c r="B196" s="2" t="s">
        <v>429</v>
      </c>
      <c r="C196" s="2" t="s">
        <v>50</v>
      </c>
      <c r="D196" s="2"/>
      <c r="E196" s="2" t="s">
        <v>52</v>
      </c>
      <c r="F196" s="2" t="s">
        <v>470</v>
      </c>
      <c r="G196" s="2" t="s">
        <v>471</v>
      </c>
      <c r="H196" s="13">
        <f>1.095+1.177</f>
      </c>
      <c r="I196" s="13">
        <f>(0.44*1.095+0.27*1.177)/H196</f>
      </c>
      <c r="J196" s="13">
        <f>(4.61*1.095+3.75*1.177)/H196</f>
      </c>
      <c r="K196" s="15">
        <f>(16.56*1.095+10.95*1.177)/H196</f>
      </c>
      <c r="L196" s="13">
        <f>(0.86*1.095+0.95*1.177)/H196</f>
      </c>
      <c r="M196" s="13">
        <f>(0.2*1.095+0.06*1.177)/H196</f>
      </c>
      <c r="N196" s="15"/>
      <c r="O196" s="16"/>
      <c r="P196" s="13"/>
      <c r="Q196" s="13"/>
      <c r="R196" s="17"/>
      <c r="S196" s="13"/>
      <c r="T196" s="17"/>
      <c r="U196" s="13"/>
      <c r="V196" s="16"/>
      <c r="W196" s="13"/>
      <c r="X196" s="13"/>
      <c r="Y196" s="14"/>
      <c r="Z196" s="2"/>
      <c r="AA196" s="13">
        <f>H196*I196/100</f>
      </c>
      <c r="AB196" s="13">
        <f>H196*J196/100</f>
      </c>
      <c r="AC196" s="15">
        <f>H196*K196</f>
      </c>
      <c r="AD196" s="15">
        <f>H196*M196</f>
      </c>
      <c r="AE196" s="13">
        <f>H196*L196/100</f>
      </c>
      <c r="AF196" s="13">
        <f>AA196+AB196+AE196</f>
      </c>
      <c r="AG196" s="13">
        <f>I196+J196+L196</f>
      </c>
      <c r="AH196" s="18">
        <f>$H196*I196</f>
      </c>
      <c r="AI196" s="18">
        <f>$H196*J196</f>
      </c>
      <c r="AJ196" s="18">
        <f>$H196*K196</f>
      </c>
      <c r="AK196" s="18">
        <f>$H196*L196</f>
      </c>
      <c r="AL196" s="18">
        <f>$H196*M196</f>
      </c>
      <c r="AM196" s="14"/>
      <c r="AN196" s="14"/>
      <c r="AO196" s="14"/>
    </row>
    <row x14ac:dyDescent="0.25" r="197" customHeight="1" ht="17.25">
      <c r="A197" s="2" t="s">
        <v>472</v>
      </c>
      <c r="B197" s="2" t="s">
        <v>429</v>
      </c>
      <c r="C197" s="2" t="s">
        <v>50</v>
      </c>
      <c r="D197" s="2"/>
      <c r="E197" s="2" t="s">
        <v>52</v>
      </c>
      <c r="F197" s="2" t="s">
        <v>473</v>
      </c>
      <c r="G197" s="2" t="s">
        <v>468</v>
      </c>
      <c r="H197" s="16">
        <f>0.2782+1.3688+0.4302</f>
      </c>
      <c r="I197" s="13">
        <f>(2.88*0.2782+3*1.3688+2.7*0.4302)/$H197</f>
      </c>
      <c r="J197" s="13">
        <f>(6.71*0.2782+7.07*1.3688+6.1*0.4302)/$H197</f>
      </c>
      <c r="K197" s="15">
        <f>(96.51*0.2782+110.22*1.3688+89*0.4302)/$H197</f>
      </c>
      <c r="L197" s="13">
        <f>(0.44*0.2782+0.51*1.3688+0.4*0.4302)/$H197</f>
      </c>
      <c r="M197" s="13">
        <f>(1.29*0.2782+1.66*1.3688+0.6*0.4302)/$H197</f>
      </c>
      <c r="N197" s="15"/>
      <c r="O197" s="16"/>
      <c r="P197" s="13"/>
      <c r="Q197" s="13"/>
      <c r="R197" s="17"/>
      <c r="S197" s="13"/>
      <c r="T197" s="17"/>
      <c r="U197" s="13"/>
      <c r="V197" s="16"/>
      <c r="W197" s="13"/>
      <c r="X197" s="13"/>
      <c r="Y197" s="14"/>
      <c r="Z197" s="2"/>
      <c r="AA197" s="13">
        <f>H197*I197/100</f>
      </c>
      <c r="AB197" s="13">
        <f>H197*J197/100</f>
      </c>
      <c r="AC197" s="15">
        <f>H197*K197</f>
      </c>
      <c r="AD197" s="15">
        <f>H197*M197</f>
      </c>
      <c r="AE197" s="13">
        <f>H197*L197/100</f>
      </c>
      <c r="AF197" s="13">
        <f>AA197+AB197+AE197</f>
      </c>
      <c r="AG197" s="13">
        <f>I197+J197+L197</f>
      </c>
      <c r="AH197" s="18">
        <f>$H197*I197</f>
      </c>
      <c r="AI197" s="18">
        <f>$H197*J197</f>
      </c>
      <c r="AJ197" s="18">
        <f>$H197*K197</f>
      </c>
      <c r="AK197" s="18">
        <f>$H197*L197</f>
      </c>
      <c r="AL197" s="18">
        <f>$H197*M197</f>
      </c>
      <c r="AM197" s="14"/>
      <c r="AN197" s="14"/>
      <c r="AO197" s="14"/>
    </row>
    <row x14ac:dyDescent="0.25" r="198" customHeight="1" ht="17.25">
      <c r="A198" s="2" t="s">
        <v>474</v>
      </c>
      <c r="B198" s="2" t="s">
        <v>429</v>
      </c>
      <c r="C198" s="2" t="s">
        <v>50</v>
      </c>
      <c r="D198" s="2" t="s">
        <v>50</v>
      </c>
      <c r="E198" s="12" t="s">
        <v>42</v>
      </c>
      <c r="F198" s="2" t="s">
        <v>43</v>
      </c>
      <c r="G198" s="2" t="s">
        <v>440</v>
      </c>
      <c r="H198" s="16">
        <f>0.148+0.148</f>
      </c>
      <c r="I198" s="13">
        <f>(0.53*0.148+1*0.148)/$H198</f>
      </c>
      <c r="J198" s="13">
        <f>(2.43*0.148+2.72*0.148)/$H198</f>
      </c>
      <c r="K198" s="15">
        <f>(49.7*0.148+54.9*0.148)/$H198</f>
      </c>
      <c r="L198" s="13">
        <f>(0.19*0.148+0.2*0.148)/$H198</f>
      </c>
      <c r="M198" s="13"/>
      <c r="N198" s="15"/>
      <c r="O198" s="16"/>
      <c r="P198" s="13"/>
      <c r="Q198" s="13"/>
      <c r="R198" s="17"/>
      <c r="S198" s="13"/>
      <c r="T198" s="17"/>
      <c r="U198" s="13"/>
      <c r="V198" s="16"/>
      <c r="W198" s="13"/>
      <c r="X198" s="13"/>
      <c r="Y198" s="14"/>
      <c r="Z198" s="2"/>
      <c r="AA198" s="13">
        <f>H198*I198/100</f>
      </c>
      <c r="AB198" s="13">
        <f>H198*J198/100</f>
      </c>
      <c r="AC198" s="15">
        <f>H198*K198</f>
      </c>
      <c r="AD198" s="15">
        <f>H198*M198</f>
      </c>
      <c r="AE198" s="13">
        <f>H198*L198/100</f>
      </c>
      <c r="AF198" s="13">
        <f>AA198+AB198+AE198</f>
      </c>
      <c r="AG198" s="13">
        <f>I198+J198+L198</f>
      </c>
      <c r="AH198" s="18">
        <f>$H198*I198</f>
      </c>
      <c r="AI198" s="18">
        <f>$H198*J198</f>
      </c>
      <c r="AJ198" s="18">
        <f>$H198*K198</f>
      </c>
      <c r="AK198" s="18">
        <f>$H198*L198</f>
      </c>
      <c r="AL198" s="18">
        <f>$H198*M198</f>
      </c>
      <c r="AM198" s="14"/>
      <c r="AN198" s="14"/>
      <c r="AO198" s="14"/>
    </row>
    <row x14ac:dyDescent="0.25" r="199" customHeight="1" ht="17.25">
      <c r="A199" s="2" t="s">
        <v>475</v>
      </c>
      <c r="B199" s="2" t="s">
        <v>429</v>
      </c>
      <c r="C199" s="2" t="s">
        <v>50</v>
      </c>
      <c r="D199" s="2"/>
      <c r="E199" s="2" t="s">
        <v>52</v>
      </c>
      <c r="F199" s="2" t="s">
        <v>476</v>
      </c>
      <c r="G199" s="2" t="s">
        <v>471</v>
      </c>
      <c r="H199" s="13">
        <f>1.475+2.975</f>
      </c>
      <c r="I199" s="13">
        <f>(0.23*1.475+0.13*2.975)/$H199</f>
      </c>
      <c r="J199" s="13">
        <f>(9.18*1.475+5.55*2.975)/$H199</f>
      </c>
      <c r="K199" s="15">
        <f>(32.6*1.475+13.9*2.975)/$H199</f>
      </c>
      <c r="L199" s="13">
        <f>(0.79*1.475+0.55*2.975)/$H199</f>
      </c>
      <c r="M199" s="13">
        <f>(0.15*1.475+0.1*2.975)/$H199</f>
      </c>
      <c r="N199" s="15"/>
      <c r="O199" s="16"/>
      <c r="P199" s="13"/>
      <c r="Q199" s="13"/>
      <c r="R199" s="17"/>
      <c r="S199" s="13"/>
      <c r="T199" s="17"/>
      <c r="U199" s="13"/>
      <c r="V199" s="16"/>
      <c r="W199" s="13"/>
      <c r="X199" s="13"/>
      <c r="Y199" s="14"/>
      <c r="Z199" s="2"/>
      <c r="AA199" s="13">
        <f>H199*I199/100</f>
      </c>
      <c r="AB199" s="13">
        <f>H199*J199/100</f>
      </c>
      <c r="AC199" s="15">
        <f>H199*K199</f>
      </c>
      <c r="AD199" s="15">
        <f>H199*M199</f>
      </c>
      <c r="AE199" s="13">
        <f>H199*L199/100</f>
      </c>
      <c r="AF199" s="13">
        <f>AA199+AB199+AE199</f>
      </c>
      <c r="AG199" s="13">
        <f>I199+J199+L199</f>
      </c>
      <c r="AH199" s="18">
        <f>$H199*I199</f>
      </c>
      <c r="AI199" s="18">
        <f>$H199*J199</f>
      </c>
      <c r="AJ199" s="18">
        <f>$H199*K199</f>
      </c>
      <c r="AK199" s="18">
        <f>$H199*L199</f>
      </c>
      <c r="AL199" s="18">
        <f>$H199*M199</f>
      </c>
      <c r="AM199" s="14"/>
      <c r="AN199" s="14"/>
      <c r="AO199" s="14"/>
    </row>
    <row x14ac:dyDescent="0.25" r="200" customHeight="1" ht="17.25">
      <c r="A200" s="2" t="s">
        <v>477</v>
      </c>
      <c r="B200" s="2" t="s">
        <v>429</v>
      </c>
      <c r="C200" s="2" t="s">
        <v>50</v>
      </c>
      <c r="D200" s="2"/>
      <c r="E200" s="2" t="s">
        <v>52</v>
      </c>
      <c r="F200" s="2" t="s">
        <v>65</v>
      </c>
      <c r="G200" s="2" t="s">
        <v>66</v>
      </c>
      <c r="H200" s="13">
        <f>2.18+1.1+2.6</f>
      </c>
      <c r="I200" s="13"/>
      <c r="J200" s="13">
        <f>(8.9*2.18+8.5*1.1+9*2.6)/$H200</f>
      </c>
      <c r="K200" s="15">
        <f>(33.9*2.18+21*1.1+40*2.6)/$H200</f>
      </c>
      <c r="L200" s="13">
        <f>(1.53*2.18+1.1*1.1+1*2.6)/$H200</f>
      </c>
      <c r="M200" s="15">
        <f>(0.46*2.18+0.5*1.1+1*2.6)/$H200</f>
      </c>
      <c r="N200" s="15"/>
      <c r="O200" s="16"/>
      <c r="P200" s="13"/>
      <c r="Q200" s="13"/>
      <c r="R200" s="17"/>
      <c r="S200" s="13"/>
      <c r="T200" s="17"/>
      <c r="U200" s="13"/>
      <c r="V200" s="16"/>
      <c r="W200" s="13"/>
      <c r="X200" s="13"/>
      <c r="Y200" s="14"/>
      <c r="Z200" s="2"/>
      <c r="AA200" s="13">
        <f>H200*I200/100</f>
      </c>
      <c r="AB200" s="13">
        <f>H200*J200/100</f>
      </c>
      <c r="AC200" s="15">
        <f>H200*K200</f>
      </c>
      <c r="AD200" s="15">
        <f>H200*M200</f>
      </c>
      <c r="AE200" s="13">
        <f>H200*L200/100</f>
      </c>
      <c r="AF200" s="13">
        <f>AA200+AB200+AE200</f>
      </c>
      <c r="AG200" s="13">
        <f>I200+J200+L200</f>
      </c>
      <c r="AH200" s="18">
        <f>$H200*I200</f>
      </c>
      <c r="AI200" s="18">
        <f>$H200*J200</f>
      </c>
      <c r="AJ200" s="18">
        <f>$H200*K200</f>
      </c>
      <c r="AK200" s="18">
        <f>$H200*L200</f>
      </c>
      <c r="AL200" s="18">
        <f>$H200*M200</f>
      </c>
      <c r="AM200" s="14"/>
      <c r="AN200" s="14"/>
      <c r="AO200" s="14"/>
    </row>
    <row x14ac:dyDescent="0.25" r="201" customHeight="1" ht="17.25">
      <c r="A201" s="2" t="s">
        <v>478</v>
      </c>
      <c r="B201" s="2" t="s">
        <v>429</v>
      </c>
      <c r="C201" s="2" t="s">
        <v>50</v>
      </c>
      <c r="D201" s="2"/>
      <c r="E201" s="12" t="s">
        <v>42</v>
      </c>
      <c r="F201" s="2" t="s">
        <v>43</v>
      </c>
      <c r="G201" s="2" t="s">
        <v>440</v>
      </c>
      <c r="H201" s="16">
        <f>0.146224+0.101413+0.05506+0.1348+0.059071</f>
      </c>
      <c r="I201" s="13">
        <f>(0.19*0.146224+0.19*0.101413+0.27*0.05506+5*0.1348+2*0.059071)/$H201</f>
      </c>
      <c r="J201" s="13">
        <f>(0.43*0.146224+0.43*0.101413+0.45*0.05506+0*0.1348+0*0.059071)/$H201</f>
      </c>
      <c r="K201" s="15">
        <f>(414.7*0.146224+414.7*0.101413+397.6*0.05506+85.7*0.1348+26.73*0.059071)/$H201</f>
      </c>
      <c r="L201" s="13">
        <f>(0*0.146224+0*0.101413+0*0.05506+0.65*0.1348+0*0.059071)/$H201</f>
      </c>
      <c r="M201" s="13">
        <f>(0.27*0.146224+0.27*0.101413+0.68*0.05506+1.03*0.1348+9.08*0.059071)/$H201</f>
      </c>
      <c r="N201" s="15"/>
      <c r="O201" s="16"/>
      <c r="P201" s="13"/>
      <c r="Q201" s="13"/>
      <c r="R201" s="17"/>
      <c r="S201" s="13"/>
      <c r="T201" s="17"/>
      <c r="U201" s="13"/>
      <c r="V201" s="16"/>
      <c r="W201" s="13"/>
      <c r="X201" s="13"/>
      <c r="Y201" s="14"/>
      <c r="Z201" s="2"/>
      <c r="AA201" s="13">
        <f>H201*I201/100</f>
      </c>
      <c r="AB201" s="13">
        <f>H201*J201/100</f>
      </c>
      <c r="AC201" s="15">
        <f>H201*K201</f>
      </c>
      <c r="AD201" s="15">
        <f>H201*M201</f>
      </c>
      <c r="AE201" s="13">
        <f>H201*L201/100</f>
      </c>
      <c r="AF201" s="13">
        <f>AA201+AB201+AE201</f>
      </c>
      <c r="AG201" s="13">
        <f>I201+J201+L201</f>
      </c>
      <c r="AH201" s="18">
        <f>$H201*I201</f>
      </c>
      <c r="AI201" s="18">
        <f>$H201*J201</f>
      </c>
      <c r="AJ201" s="18">
        <f>$H201*K201</f>
      </c>
      <c r="AK201" s="18">
        <f>$H201*L201</f>
      </c>
      <c r="AL201" s="18">
        <f>$H201*M201</f>
      </c>
      <c r="AM201" s="14"/>
      <c r="AN201" s="14"/>
      <c r="AO201" s="14"/>
    </row>
    <row x14ac:dyDescent="0.25" r="202" customHeight="1" ht="17.25">
      <c r="A202" s="2" t="s">
        <v>479</v>
      </c>
      <c r="B202" s="2" t="s">
        <v>429</v>
      </c>
      <c r="C202" s="2" t="s">
        <v>480</v>
      </c>
      <c r="D202" s="2"/>
      <c r="E202" s="2" t="s">
        <v>52</v>
      </c>
      <c r="F202" s="2" t="s">
        <v>481</v>
      </c>
      <c r="G202" s="2" t="s">
        <v>482</v>
      </c>
      <c r="H202" s="15">
        <f>6.609+65.329+3516.944+923.168+369.002+127.696</f>
      </c>
      <c r="I202" s="13"/>
      <c r="J202" s="16">
        <f>(0.01436*6.609+0.02736*65.329+0.01407*3516.944+0.028*923.168+0.01532*369.002+0.02758*127.696)/$H202</f>
      </c>
      <c r="K202" s="14"/>
      <c r="L202" s="16">
        <f>(0.00313*6.609+0.00744*65.329+0.00308*3516.944+0.0076*923.168+0.00339*369.002+0.00857*127.696)/$H202</f>
      </c>
      <c r="M202" s="13"/>
      <c r="N202" s="15"/>
      <c r="O202" s="16">
        <f>(0.00473*6.609+0.01429*65.329+0.00477*3516.944+0.01424*923.168+0.00503*369.002+0.01321*127.696)/$H202</f>
      </c>
      <c r="P202" s="16">
        <f>(0.00143*6.609+0.00234*65.329+0.00136*3516.944+0.0022*923.168+0.00133*369.002+0.00207*127.696)/$H202</f>
      </c>
      <c r="Q202" s="13"/>
      <c r="R202" s="17"/>
      <c r="S202" s="22">
        <f>(95.95/(95.95+3*16))*((3.7*6.609+100.4*65.329+2.9*3516.944+99.4*923.168+2.6*369.002+93.3*127.696)/10000)/$H202</f>
      </c>
      <c r="T202" s="17"/>
      <c r="U202" s="13"/>
      <c r="V202" s="22">
        <f>((5.2*6.609+29.1*65.329+5.2*3516.944+31.9*923.168+5.1*369.002+31.1*127.696)/10000)/$H202</f>
      </c>
      <c r="W202" s="13"/>
      <c r="X202" s="16">
        <f>(2*50.9415/(2*50.9415+5*16))*((452.7*6.609+1315.5*65.329+445.8*3516.944+1218.3*923.168+494*369.002+1375.6*127.696)/10000)/$H202</f>
      </c>
      <c r="Y202" s="16">
        <f>(((45.5+82.2+9.7+36.8+7.1+1.5+5.7+0.9+5.2+1.1+3.1+0.5+3.2+0.5+34.2)*6.609+(57.7+89.4+11.9+45.8+9.2+2+8.7+1.3+7.8+1.6+4.3+0.6+4.1+0.6+54.9)*65.329+(44.3+79.1+9.6+36+6.9+1.4+5.6+0.9+5+1+3+0.5+3.1+0.5+32)*3516.944+(65.1+102.8+14.1+56.1+11.7+2.5+10.9+1.7+9.4+1.8+5.1+0.7+4.7+0.7+72.6)*923.168+(43.7+78.6+9.7+35.9+6.9+1.5+5.7+0.9+5.4+1.1+3.2+0.5+3.2+0.7+33.2)*369.002+(55.2+90+12.7+49.4+10.1+2.2+9.6+1.5+8.6+1.6+4.6+0.7+4.3+0.6+57)*127.696)/10000)/$H202</f>
      </c>
      <c r="Z202" s="2" t="s">
        <v>483</v>
      </c>
      <c r="AA202" s="13">
        <f>H202*I202/100</f>
      </c>
      <c r="AB202" s="13">
        <f>H202*J202/100</f>
      </c>
      <c r="AC202" s="15">
        <f>H202*K202</f>
      </c>
      <c r="AD202" s="15">
        <f>H202*M202</f>
      </c>
      <c r="AE202" s="13">
        <f>H202*L202/100</f>
      </c>
      <c r="AF202" s="13">
        <f>AA202+AB202+AE202</f>
      </c>
      <c r="AG202" s="13">
        <f>I202+J202+L202</f>
      </c>
      <c r="AH202" s="18">
        <f>$H202*I202</f>
      </c>
      <c r="AI202" s="18">
        <f>$H202*J202</f>
      </c>
      <c r="AJ202" s="18">
        <f>$H202*K202</f>
      </c>
      <c r="AK202" s="18">
        <f>$H202*L202</f>
      </c>
      <c r="AL202" s="18">
        <f>$H202*M202</f>
      </c>
      <c r="AM202" s="14"/>
      <c r="AN202" s="14"/>
      <c r="AO202" s="14"/>
    </row>
    <row x14ac:dyDescent="0.25" r="203" customHeight="1" ht="17.25">
      <c r="A203" s="2" t="s">
        <v>484</v>
      </c>
      <c r="B203" s="2" t="s">
        <v>429</v>
      </c>
      <c r="C203" s="2" t="s">
        <v>40</v>
      </c>
      <c r="D203" s="2"/>
      <c r="E203" s="12" t="s">
        <v>42</v>
      </c>
      <c r="F203" s="2" t="s">
        <v>43</v>
      </c>
      <c r="G203" s="2" t="s">
        <v>485</v>
      </c>
      <c r="H203" s="13">
        <v>1.25</v>
      </c>
      <c r="I203" s="13">
        <v>0.7</v>
      </c>
      <c r="J203" s="13">
        <v>9.4</v>
      </c>
      <c r="K203" s="14"/>
      <c r="L203" s="13"/>
      <c r="M203" s="13"/>
      <c r="N203" s="15"/>
      <c r="O203" s="16"/>
      <c r="P203" s="13"/>
      <c r="Q203" s="13"/>
      <c r="R203" s="17"/>
      <c r="S203" s="13"/>
      <c r="T203" s="17"/>
      <c r="U203" s="13"/>
      <c r="V203" s="16"/>
      <c r="W203" s="13"/>
      <c r="X203" s="13"/>
      <c r="Y203" s="14"/>
      <c r="Z203" s="2"/>
      <c r="AA203" s="13">
        <f>H203*I203/100</f>
      </c>
      <c r="AB203" s="13">
        <f>H203*J203/100</f>
      </c>
      <c r="AC203" s="15">
        <f>H203*K203</f>
      </c>
      <c r="AD203" s="15">
        <f>H203*M203</f>
      </c>
      <c r="AE203" s="13">
        <f>H203*L203/100</f>
      </c>
      <c r="AF203" s="13">
        <f>AA203+AB203+AE203</f>
      </c>
      <c r="AG203" s="13">
        <f>I203+J203+L203</f>
      </c>
      <c r="AH203" s="18">
        <f>$H203*I203</f>
      </c>
      <c r="AI203" s="18">
        <f>$H203*J203</f>
      </c>
      <c r="AJ203" s="18">
        <f>$H203*K203</f>
      </c>
      <c r="AK203" s="18">
        <f>$H203*L203</f>
      </c>
      <c r="AL203" s="18">
        <f>$H203*M203</f>
      </c>
      <c r="AM203" s="14"/>
      <c r="AN203" s="14"/>
      <c r="AO203" s="14"/>
    </row>
    <row x14ac:dyDescent="0.25" r="204" customHeight="1" ht="17.25">
      <c r="A204" s="2" t="s">
        <v>486</v>
      </c>
      <c r="B204" s="2" t="s">
        <v>429</v>
      </c>
      <c r="C204" s="2" t="s">
        <v>159</v>
      </c>
      <c r="D204" s="2"/>
      <c r="E204" s="12" t="s">
        <v>42</v>
      </c>
      <c r="F204" s="2" t="s">
        <v>43</v>
      </c>
      <c r="G204" s="2" t="s">
        <v>487</v>
      </c>
      <c r="H204" s="13">
        <v>0.068</v>
      </c>
      <c r="I204" s="13">
        <v>0.6</v>
      </c>
      <c r="J204" s="13">
        <v>7.45</v>
      </c>
      <c r="K204" s="13">
        <v>704.2</v>
      </c>
      <c r="L204" s="13">
        <v>6.1</v>
      </c>
      <c r="M204" s="13">
        <v>0.34</v>
      </c>
      <c r="N204" s="15"/>
      <c r="O204" s="16"/>
      <c r="P204" s="13"/>
      <c r="Q204" s="13"/>
      <c r="R204" s="17"/>
      <c r="S204" s="13"/>
      <c r="T204" s="17"/>
      <c r="U204" s="13"/>
      <c r="V204" s="16"/>
      <c r="W204" s="13"/>
      <c r="X204" s="13"/>
      <c r="Y204" s="14"/>
      <c r="Z204" s="2"/>
      <c r="AA204" s="13">
        <f>H204*I204/100</f>
      </c>
      <c r="AB204" s="13">
        <f>H204*J204/100</f>
      </c>
      <c r="AC204" s="15">
        <f>H204*K204</f>
      </c>
      <c r="AD204" s="15">
        <f>H204*M204</f>
      </c>
      <c r="AE204" s="13">
        <f>H204*L204/100</f>
      </c>
      <c r="AF204" s="13">
        <f>AA204+AB204+AE204</f>
      </c>
      <c r="AG204" s="13">
        <f>I204+J204+L204</f>
      </c>
      <c r="AH204" s="18">
        <f>$H204*I204</f>
      </c>
      <c r="AI204" s="18">
        <f>$H204*J204</f>
      </c>
      <c r="AJ204" s="18">
        <f>$H204*K204</f>
      </c>
      <c r="AK204" s="18">
        <f>$H204*L204</f>
      </c>
      <c r="AL204" s="18">
        <f>$H204*M204</f>
      </c>
      <c r="AM204" s="14"/>
      <c r="AN204" s="14"/>
      <c r="AO204" s="14"/>
    </row>
    <row x14ac:dyDescent="0.25" r="205" customHeight="1" ht="17.25">
      <c r="A205" s="2" t="s">
        <v>488</v>
      </c>
      <c r="B205" s="2" t="s">
        <v>429</v>
      </c>
      <c r="C205" s="2" t="s">
        <v>50</v>
      </c>
      <c r="D205" s="2"/>
      <c r="E205" s="2" t="s">
        <v>52</v>
      </c>
      <c r="F205" s="2" t="s">
        <v>489</v>
      </c>
      <c r="G205" s="2" t="s">
        <v>293</v>
      </c>
      <c r="H205" s="13">
        <f>5.61+1.62+3.66</f>
      </c>
      <c r="I205" s="13">
        <f>(2.93*5.61+2.94*1.62+2.81*3.66)/$H205</f>
      </c>
      <c r="J205" s="13">
        <f>(6.91*5.61+7.28*1.62+6.95*3.66)/$H205</f>
      </c>
      <c r="K205" s="15">
        <f>(84.64*5.61+83.68*1.62+78.31*3.66)/$H205</f>
      </c>
      <c r="L205" s="13">
        <f>(0.46*5.61+0.34*1.62+0.32*3.66)/$H205</f>
      </c>
      <c r="M205" s="13">
        <f>(0.84*5.61+1.06*1.62+1.23*3.66)/$H205</f>
      </c>
      <c r="N205" s="15"/>
      <c r="O205" s="16"/>
      <c r="P205" s="13"/>
      <c r="Q205" s="13"/>
      <c r="R205" s="17"/>
      <c r="S205" s="13"/>
      <c r="T205" s="17"/>
      <c r="U205" s="13"/>
      <c r="V205" s="16"/>
      <c r="W205" s="13"/>
      <c r="X205" s="13"/>
      <c r="Y205" s="14"/>
      <c r="Z205" s="2"/>
      <c r="AA205" s="13">
        <f>H205*I205/100</f>
      </c>
      <c r="AB205" s="13">
        <f>H205*J205/100</f>
      </c>
      <c r="AC205" s="15">
        <f>H205*K205</f>
      </c>
      <c r="AD205" s="15">
        <f>H205*M205</f>
      </c>
      <c r="AE205" s="13">
        <f>H205*L205/100</f>
      </c>
      <c r="AF205" s="13">
        <f>AA205+AB205+AE205</f>
      </c>
      <c r="AG205" s="13">
        <f>I205+J205+L205</f>
      </c>
      <c r="AH205" s="18">
        <f>$H205*I205</f>
      </c>
      <c r="AI205" s="18">
        <f>$H205*J205</f>
      </c>
      <c r="AJ205" s="18">
        <f>$H205*K205</f>
      </c>
      <c r="AK205" s="18">
        <f>$H205*L205</f>
      </c>
      <c r="AL205" s="18">
        <f>$H205*M205</f>
      </c>
      <c r="AM205" s="14"/>
      <c r="AN205" s="14"/>
      <c r="AO205" s="14"/>
    </row>
    <row x14ac:dyDescent="0.25" r="206" customHeight="1" ht="17.25">
      <c r="A206" s="2" t="s">
        <v>490</v>
      </c>
      <c r="B206" s="2" t="s">
        <v>429</v>
      </c>
      <c r="C206" s="2" t="s">
        <v>491</v>
      </c>
      <c r="D206" s="2"/>
      <c r="E206" s="12" t="s">
        <v>42</v>
      </c>
      <c r="F206" s="2" t="s">
        <v>43</v>
      </c>
      <c r="G206" s="2" t="s">
        <v>440</v>
      </c>
      <c r="H206" s="16">
        <f>0.48851+0.072568+0.226775+0.02721+0.09</f>
      </c>
      <c r="I206" s="15">
        <f>(5.3*0.48851+5.5*0.072568+9.4*0.226775+3.6*0.02721+3.3*0.09)/$H206</f>
      </c>
      <c r="J206" s="13">
        <f>(4.46*0.48851+4.14*0.072568+0*0.226775+3*0.02721+6.6*0.09)/$H206</f>
      </c>
      <c r="K206" s="17">
        <f>(168*0.48851+219.39*0.072568+49.7*0.226775+294.81*0.02721+70*0.09)/$H206</f>
      </c>
      <c r="L206" s="13">
        <f>(0*0.48851+0*0.072568+0.1*0.226775+0.35*0.02721+0*0.09)/$H206</f>
      </c>
      <c r="M206" s="13"/>
      <c r="N206" s="15"/>
      <c r="O206" s="16"/>
      <c r="P206" s="13"/>
      <c r="Q206" s="13"/>
      <c r="R206" s="17"/>
      <c r="S206" s="13"/>
      <c r="T206" s="17"/>
      <c r="U206" s="13"/>
      <c r="V206" s="16"/>
      <c r="W206" s="13"/>
      <c r="X206" s="13"/>
      <c r="Y206" s="14"/>
      <c r="Z206" s="2"/>
      <c r="AA206" s="13">
        <f>H206*I206/100</f>
      </c>
      <c r="AB206" s="13">
        <f>H206*J206/100</f>
      </c>
      <c r="AC206" s="15">
        <f>H206*K206</f>
      </c>
      <c r="AD206" s="15">
        <f>H206*M206</f>
      </c>
      <c r="AE206" s="13">
        <f>H206*L206/100</f>
      </c>
      <c r="AF206" s="13">
        <f>AA206+AB206+AE206</f>
      </c>
      <c r="AG206" s="13">
        <f>I206+J206+L206</f>
      </c>
      <c r="AH206" s="18">
        <f>$H206*I206</f>
      </c>
      <c r="AI206" s="18">
        <f>$H206*J206</f>
      </c>
      <c r="AJ206" s="18">
        <f>$H206*K206</f>
      </c>
      <c r="AK206" s="18">
        <f>$H206*L206</f>
      </c>
      <c r="AL206" s="18">
        <f>$H206*M206</f>
      </c>
      <c r="AM206" s="14"/>
      <c r="AN206" s="14"/>
      <c r="AO206" s="14"/>
    </row>
    <row x14ac:dyDescent="0.25" r="207" customHeight="1" ht="17.25">
      <c r="A207" s="2" t="s">
        <v>492</v>
      </c>
      <c r="B207" s="2" t="s">
        <v>429</v>
      </c>
      <c r="C207" s="2" t="s">
        <v>50</v>
      </c>
      <c r="D207" s="2"/>
      <c r="E207" s="2" t="s">
        <v>52</v>
      </c>
      <c r="F207" s="2" t="s">
        <v>493</v>
      </c>
      <c r="G207" s="2" t="s">
        <v>431</v>
      </c>
      <c r="H207" s="16">
        <f>0.107+1.449+2.342+0.116</f>
      </c>
      <c r="I207" s="13"/>
      <c r="J207" s="13">
        <f>(0.13*0.107+0.05*1.449+0*2.342+0*0.116)/H207</f>
      </c>
      <c r="K207" s="15">
        <f>(6.4*0.107+3*1.449+0*2.342+0*0.116)/H207</f>
      </c>
      <c r="L207" s="13">
        <f>(1.78*0.107+1.24*1.449+1.15*2.342+1.62*0.116)/H207</f>
      </c>
      <c r="M207" s="13"/>
      <c r="N207" s="15"/>
      <c r="O207" s="16"/>
      <c r="P207" s="13"/>
      <c r="Q207" s="13"/>
      <c r="R207" s="17"/>
      <c r="S207" s="13"/>
      <c r="T207" s="17"/>
      <c r="U207" s="13"/>
      <c r="V207" s="16"/>
      <c r="W207" s="13"/>
      <c r="X207" s="13"/>
      <c r="Y207" s="14"/>
      <c r="Z207" s="2"/>
      <c r="AA207" s="13">
        <f>H207*I207/100</f>
      </c>
      <c r="AB207" s="13">
        <f>H207*J207/100</f>
      </c>
      <c r="AC207" s="15">
        <f>H207*K207</f>
      </c>
      <c r="AD207" s="15">
        <f>H207*M207</f>
      </c>
      <c r="AE207" s="13">
        <f>H207*L207/100</f>
      </c>
      <c r="AF207" s="13">
        <f>AA207+AB207+AE207</f>
      </c>
      <c r="AG207" s="13">
        <f>I207+J207+L207</f>
      </c>
      <c r="AH207" s="18">
        <f>$H207*I207</f>
      </c>
      <c r="AI207" s="18">
        <f>$H207*J207</f>
      </c>
      <c r="AJ207" s="18">
        <f>$H207*K207</f>
      </c>
      <c r="AK207" s="18">
        <f>$H207*L207</f>
      </c>
      <c r="AL207" s="18">
        <f>$H207*M207</f>
      </c>
      <c r="AM207" s="14"/>
      <c r="AN207" s="14"/>
      <c r="AO207" s="14"/>
    </row>
    <row x14ac:dyDescent="0.25" r="208" customHeight="1" ht="17.25">
      <c r="A208" s="2" t="s">
        <v>494</v>
      </c>
      <c r="B208" s="2" t="s">
        <v>429</v>
      </c>
      <c r="C208" s="2" t="s">
        <v>50</v>
      </c>
      <c r="D208" s="2"/>
      <c r="E208" s="2" t="s">
        <v>52</v>
      </c>
      <c r="F208" s="2" t="s">
        <v>495</v>
      </c>
      <c r="G208" s="2" t="s">
        <v>70</v>
      </c>
      <c r="H208" s="16">
        <v>2.827047</v>
      </c>
      <c r="I208" s="13"/>
      <c r="J208" s="13">
        <v>0.32</v>
      </c>
      <c r="K208" s="13">
        <v>8.96</v>
      </c>
      <c r="L208" s="13">
        <v>1.9</v>
      </c>
      <c r="M208" s="13">
        <v>0.47</v>
      </c>
      <c r="N208" s="15"/>
      <c r="O208" s="16"/>
      <c r="P208" s="13"/>
      <c r="Q208" s="13"/>
      <c r="R208" s="17"/>
      <c r="S208" s="13"/>
      <c r="T208" s="17"/>
      <c r="U208" s="13"/>
      <c r="V208" s="16"/>
      <c r="W208" s="13"/>
      <c r="X208" s="13"/>
      <c r="Y208" s="14"/>
      <c r="Z208" s="2"/>
      <c r="AA208" s="13">
        <f>H208*I208/100</f>
      </c>
      <c r="AB208" s="13">
        <f>H208*J208/100</f>
      </c>
      <c r="AC208" s="15">
        <f>H208*K208</f>
      </c>
      <c r="AD208" s="15">
        <f>H208*M208</f>
      </c>
      <c r="AE208" s="13">
        <f>H208*L208/100</f>
      </c>
      <c r="AF208" s="13">
        <f>AA208+AB208+AE208</f>
      </c>
      <c r="AG208" s="13">
        <f>I208+J208+L208</f>
      </c>
      <c r="AH208" s="18">
        <f>$H208*I208</f>
      </c>
      <c r="AI208" s="18">
        <f>$H208*J208</f>
      </c>
      <c r="AJ208" s="18">
        <f>$H208*K208</f>
      </c>
      <c r="AK208" s="18">
        <f>$H208*L208</f>
      </c>
      <c r="AL208" s="18">
        <f>$H208*M208</f>
      </c>
      <c r="AM208" s="14"/>
      <c r="AN208" s="14"/>
      <c r="AO208" s="14"/>
    </row>
    <row x14ac:dyDescent="0.25" r="209" customHeight="1" ht="17.25">
      <c r="A209" s="2" t="s">
        <v>496</v>
      </c>
      <c r="B209" s="2" t="s">
        <v>429</v>
      </c>
      <c r="C209" s="2" t="s">
        <v>40</v>
      </c>
      <c r="D209" s="2" t="s">
        <v>64</v>
      </c>
      <c r="E209" s="12" t="s">
        <v>42</v>
      </c>
      <c r="F209" s="2" t="s">
        <v>497</v>
      </c>
      <c r="G209" s="2" t="s">
        <v>498</v>
      </c>
      <c r="H209" s="14">
        <v>54</v>
      </c>
      <c r="I209" s="15">
        <v>2</v>
      </c>
      <c r="J209" s="13">
        <v>7.7</v>
      </c>
      <c r="K209" s="13">
        <v>42.8</v>
      </c>
      <c r="L209" s="13"/>
      <c r="M209" s="13"/>
      <c r="N209" s="13">
        <v>47.5</v>
      </c>
      <c r="O209" s="16"/>
      <c r="P209" s="13"/>
      <c r="Q209" s="13"/>
      <c r="R209" s="17"/>
      <c r="S209" s="13"/>
      <c r="T209" s="17"/>
      <c r="U209" s="13"/>
      <c r="V209" s="16"/>
      <c r="W209" s="13"/>
      <c r="X209" s="13"/>
      <c r="Y209" s="14"/>
      <c r="Z209" s="2"/>
      <c r="AA209" s="13">
        <f>H209*I209/100</f>
      </c>
      <c r="AB209" s="13">
        <f>H209*J209/100</f>
      </c>
      <c r="AC209" s="15">
        <f>H209*K209</f>
      </c>
      <c r="AD209" s="15">
        <f>H209*M209</f>
      </c>
      <c r="AE209" s="13">
        <f>H209*L209/100</f>
      </c>
      <c r="AF209" s="13">
        <f>AA209+AB209+AE209</f>
      </c>
      <c r="AG209" s="13">
        <f>I209+J209+L209</f>
      </c>
      <c r="AH209" s="18">
        <f>$H209*I209</f>
      </c>
      <c r="AI209" s="18">
        <f>$H209*J209</f>
      </c>
      <c r="AJ209" s="18">
        <f>$H209*K209</f>
      </c>
      <c r="AK209" s="18">
        <f>$H209*L209</f>
      </c>
      <c r="AL209" s="18">
        <f>$H209*M209</f>
      </c>
      <c r="AM209" s="14"/>
      <c r="AN209" s="14"/>
      <c r="AO209" s="14"/>
    </row>
    <row x14ac:dyDescent="0.25" r="210" customHeight="1" ht="17.25">
      <c r="A210" s="2" t="s">
        <v>499</v>
      </c>
      <c r="B210" s="2" t="s">
        <v>429</v>
      </c>
      <c r="C210" s="2" t="s">
        <v>40</v>
      </c>
      <c r="D210" s="2" t="s">
        <v>64</v>
      </c>
      <c r="E210" s="12" t="s">
        <v>42</v>
      </c>
      <c r="F210" s="2" t="s">
        <v>43</v>
      </c>
      <c r="G210" s="2" t="s">
        <v>440</v>
      </c>
      <c r="H210" s="16">
        <v>1.490365</v>
      </c>
      <c r="I210" s="13">
        <v>1.4</v>
      </c>
      <c r="J210" s="13">
        <v>8.6</v>
      </c>
      <c r="K210" s="13">
        <v>8.5</v>
      </c>
      <c r="L210" s="13"/>
      <c r="M210" s="13"/>
      <c r="N210" s="15"/>
      <c r="O210" s="16"/>
      <c r="P210" s="13"/>
      <c r="Q210" s="13"/>
      <c r="R210" s="17"/>
      <c r="S210" s="13"/>
      <c r="T210" s="17"/>
      <c r="U210" s="13"/>
      <c r="V210" s="16"/>
      <c r="W210" s="13"/>
      <c r="X210" s="13"/>
      <c r="Y210" s="14"/>
      <c r="Z210" s="2"/>
      <c r="AA210" s="13">
        <f>H210*I210/100</f>
      </c>
      <c r="AB210" s="13">
        <f>H210*J210/100</f>
      </c>
      <c r="AC210" s="15">
        <f>H210*K210</f>
      </c>
      <c r="AD210" s="15">
        <f>H210*M210</f>
      </c>
      <c r="AE210" s="13">
        <f>H210*L210/100</f>
      </c>
      <c r="AF210" s="13">
        <f>AA210+AB210+AE210</f>
      </c>
      <c r="AG210" s="13">
        <f>I210+J210+L210</f>
      </c>
      <c r="AH210" s="18">
        <f>$H210*I210</f>
      </c>
      <c r="AI210" s="18">
        <f>$H210*J210</f>
      </c>
      <c r="AJ210" s="18">
        <f>$H210*K210</f>
      </c>
      <c r="AK210" s="18">
        <f>$H210*L210</f>
      </c>
      <c r="AL210" s="18">
        <f>$H210*M210</f>
      </c>
      <c r="AM210" s="14"/>
      <c r="AN210" s="14"/>
      <c r="AO210" s="14"/>
    </row>
    <row x14ac:dyDescent="0.25" r="211" customHeight="1" ht="17.25">
      <c r="A211" s="2" t="s">
        <v>500</v>
      </c>
      <c r="B211" s="2" t="s">
        <v>429</v>
      </c>
      <c r="C211" s="2" t="s">
        <v>501</v>
      </c>
      <c r="D211" s="2"/>
      <c r="E211" s="12" t="s">
        <v>42</v>
      </c>
      <c r="F211" s="2" t="s">
        <v>43</v>
      </c>
      <c r="G211" s="2" t="s">
        <v>502</v>
      </c>
      <c r="H211" s="16">
        <v>0.327373</v>
      </c>
      <c r="I211" s="13">
        <v>5.64</v>
      </c>
      <c r="J211" s="13">
        <v>4.6</v>
      </c>
      <c r="K211" s="13">
        <v>254.8</v>
      </c>
      <c r="L211" s="13"/>
      <c r="M211" s="13"/>
      <c r="N211" s="15"/>
      <c r="O211" s="16"/>
      <c r="P211" s="13"/>
      <c r="Q211" s="13"/>
      <c r="R211" s="17"/>
      <c r="S211" s="13"/>
      <c r="T211" s="17"/>
      <c r="U211" s="13"/>
      <c r="V211" s="16"/>
      <c r="W211" s="13"/>
      <c r="X211" s="13"/>
      <c r="Y211" s="14"/>
      <c r="Z211" s="2"/>
      <c r="AA211" s="13">
        <f>H211*I211/100</f>
      </c>
      <c r="AB211" s="13">
        <f>H211*J211/100</f>
      </c>
      <c r="AC211" s="15">
        <f>H211*K211</f>
      </c>
      <c r="AD211" s="15">
        <f>H211*M211</f>
      </c>
      <c r="AE211" s="13">
        <f>H211*L211/100</f>
      </c>
      <c r="AF211" s="13">
        <f>AA211+AB211+AE211</f>
      </c>
      <c r="AG211" s="13">
        <f>I211+J211+L211</f>
      </c>
      <c r="AH211" s="18">
        <f>$H211*I211</f>
      </c>
      <c r="AI211" s="18">
        <f>$H211*J211</f>
      </c>
      <c r="AJ211" s="18">
        <f>$H211*K211</f>
      </c>
      <c r="AK211" s="18">
        <f>$H211*L211</f>
      </c>
      <c r="AL211" s="18">
        <f>$H211*M211</f>
      </c>
      <c r="AM211" s="14"/>
      <c r="AN211" s="14"/>
      <c r="AO211" s="14"/>
    </row>
    <row x14ac:dyDescent="0.25" r="212" customHeight="1" ht="17.25">
      <c r="A212" s="2" t="s">
        <v>503</v>
      </c>
      <c r="B212" s="2" t="s">
        <v>429</v>
      </c>
      <c r="C212" s="2" t="s">
        <v>40</v>
      </c>
      <c r="D212" s="2"/>
      <c r="E212" s="2" t="s">
        <v>52</v>
      </c>
      <c r="F212" s="2" t="s">
        <v>504</v>
      </c>
      <c r="G212" s="2" t="s">
        <v>505</v>
      </c>
      <c r="H212" s="13">
        <v>9.205</v>
      </c>
      <c r="I212" s="13">
        <v>0.97</v>
      </c>
      <c r="J212" s="13">
        <v>6.6</v>
      </c>
      <c r="K212" s="14">
        <v>19</v>
      </c>
      <c r="L212" s="13"/>
      <c r="M212" s="13"/>
      <c r="N212" s="15"/>
      <c r="O212" s="16"/>
      <c r="P212" s="13"/>
      <c r="Q212" s="13"/>
      <c r="R212" s="17"/>
      <c r="S212" s="13"/>
      <c r="T212" s="17"/>
      <c r="U212" s="13"/>
      <c r="V212" s="16"/>
      <c r="W212" s="13"/>
      <c r="X212" s="13"/>
      <c r="Y212" s="14"/>
      <c r="Z212" s="2"/>
      <c r="AA212" s="13">
        <f>H212*I212/100</f>
      </c>
      <c r="AB212" s="13">
        <f>H212*J212/100</f>
      </c>
      <c r="AC212" s="15">
        <f>H212*K212</f>
      </c>
      <c r="AD212" s="15">
        <f>H212*M212</f>
      </c>
      <c r="AE212" s="13">
        <f>H212*L212/100</f>
      </c>
      <c r="AF212" s="13">
        <f>AA212+AB212+AE212</f>
      </c>
      <c r="AG212" s="13">
        <f>I212+J212+L212</f>
      </c>
      <c r="AH212" s="18">
        <f>$H212*I212</f>
      </c>
      <c r="AI212" s="18">
        <f>$H212*J212</f>
      </c>
      <c r="AJ212" s="18">
        <f>$H212*K212</f>
      </c>
      <c r="AK212" s="18">
        <f>$H212*L212</f>
      </c>
      <c r="AL212" s="18">
        <f>$H212*M212</f>
      </c>
      <c r="AM212" s="14"/>
      <c r="AN212" s="14"/>
      <c r="AO212" s="14"/>
    </row>
    <row x14ac:dyDescent="0.25" r="213" customHeight="1" ht="17.25">
      <c r="A213" s="2" t="s">
        <v>506</v>
      </c>
      <c r="B213" s="2" t="s">
        <v>429</v>
      </c>
      <c r="C213" s="2" t="s">
        <v>40</v>
      </c>
      <c r="D213" s="2" t="s">
        <v>64</v>
      </c>
      <c r="E213" s="12" t="s">
        <v>42</v>
      </c>
      <c r="F213" s="2" t="s">
        <v>507</v>
      </c>
      <c r="G213" s="2" t="s">
        <v>508</v>
      </c>
      <c r="H213" s="13">
        <v>1.8</v>
      </c>
      <c r="I213" s="13">
        <v>0.58</v>
      </c>
      <c r="J213" s="13">
        <v>2.6</v>
      </c>
      <c r="K213" s="14"/>
      <c r="L213" s="13"/>
      <c r="M213" s="13"/>
      <c r="N213" s="15"/>
      <c r="O213" s="16"/>
      <c r="P213" s="13"/>
      <c r="Q213" s="13"/>
      <c r="R213" s="17"/>
      <c r="S213" s="13"/>
      <c r="T213" s="17"/>
      <c r="U213" s="13"/>
      <c r="V213" s="16"/>
      <c r="W213" s="13"/>
      <c r="X213" s="13"/>
      <c r="Y213" s="14"/>
      <c r="Z213" s="2"/>
      <c r="AA213" s="13">
        <f>H213*I213/100</f>
      </c>
      <c r="AB213" s="13">
        <f>H213*J213/100</f>
      </c>
      <c r="AC213" s="15">
        <f>H213*K213</f>
      </c>
      <c r="AD213" s="15">
        <f>H213*M213</f>
      </c>
      <c r="AE213" s="13">
        <f>H213*L213/100</f>
      </c>
      <c r="AF213" s="13">
        <f>AA213+AB213+AE213</f>
      </c>
      <c r="AG213" s="13">
        <f>I213+J213+L213</f>
      </c>
      <c r="AH213" s="18">
        <f>$H213*I213</f>
      </c>
      <c r="AI213" s="18">
        <f>$H213*J213</f>
      </c>
      <c r="AJ213" s="18">
        <f>$H213*K213</f>
      </c>
      <c r="AK213" s="18">
        <f>$H213*L213</f>
      </c>
      <c r="AL213" s="18">
        <f>$H213*M213</f>
      </c>
      <c r="AM213" s="14"/>
      <c r="AN213" s="14"/>
      <c r="AO213" s="14"/>
    </row>
    <row x14ac:dyDescent="0.25" r="214" customHeight="1" ht="17.25">
      <c r="A214" s="2" t="s">
        <v>509</v>
      </c>
      <c r="B214" s="2" t="s">
        <v>429</v>
      </c>
      <c r="C214" s="2" t="s">
        <v>189</v>
      </c>
      <c r="D214" s="2"/>
      <c r="E214" s="12" t="s">
        <v>42</v>
      </c>
      <c r="F214" s="2" t="s">
        <v>43</v>
      </c>
      <c r="G214" s="2" t="s">
        <v>440</v>
      </c>
      <c r="H214" s="16">
        <v>0.043355</v>
      </c>
      <c r="I214" s="14">
        <v>6</v>
      </c>
      <c r="J214" s="14">
        <v>10</v>
      </c>
      <c r="K214" s="14"/>
      <c r="L214" s="13">
        <v>0.11998</v>
      </c>
      <c r="M214" s="13"/>
      <c r="N214" s="15"/>
      <c r="O214" s="16"/>
      <c r="P214" s="13"/>
      <c r="Q214" s="13"/>
      <c r="R214" s="17"/>
      <c r="S214" s="13"/>
      <c r="T214" s="17"/>
      <c r="U214" s="13"/>
      <c r="V214" s="16"/>
      <c r="W214" s="13"/>
      <c r="X214" s="13"/>
      <c r="Y214" s="14"/>
      <c r="Z214" s="2"/>
      <c r="AA214" s="13">
        <f>H214*I214/100</f>
      </c>
      <c r="AB214" s="13">
        <f>H214*J214/100</f>
      </c>
      <c r="AC214" s="15">
        <f>H214*K214</f>
      </c>
      <c r="AD214" s="15">
        <f>H214*M214</f>
      </c>
      <c r="AE214" s="13">
        <f>H214*L214/100</f>
      </c>
      <c r="AF214" s="13">
        <f>AA214+AB214+AE214</f>
      </c>
      <c r="AG214" s="13">
        <f>I214+J214+L214</f>
      </c>
      <c r="AH214" s="18">
        <f>$H214*I214</f>
      </c>
      <c r="AI214" s="18">
        <f>$H214*J214</f>
      </c>
      <c r="AJ214" s="18">
        <f>$H214*K214</f>
      </c>
      <c r="AK214" s="18">
        <f>$H214*L214</f>
      </c>
      <c r="AL214" s="18">
        <f>$H214*M214</f>
      </c>
      <c r="AM214" s="14"/>
      <c r="AN214" s="14"/>
      <c r="AO214" s="14"/>
    </row>
    <row x14ac:dyDescent="0.25" r="215" customHeight="1" ht="17.25">
      <c r="A215" s="2" t="s">
        <v>510</v>
      </c>
      <c r="B215" s="2" t="s">
        <v>429</v>
      </c>
      <c r="C215" s="2" t="s">
        <v>56</v>
      </c>
      <c r="D215" s="2" t="s">
        <v>79</v>
      </c>
      <c r="E215" s="12" t="s">
        <v>42</v>
      </c>
      <c r="F215" s="2" t="s">
        <v>43</v>
      </c>
      <c r="G215" s="2" t="s">
        <v>440</v>
      </c>
      <c r="H215" s="16">
        <v>0.317485</v>
      </c>
      <c r="I215" s="13"/>
      <c r="J215" s="13">
        <v>4.23</v>
      </c>
      <c r="K215" s="15">
        <v>30.16</v>
      </c>
      <c r="L215" s="13">
        <v>0.38</v>
      </c>
      <c r="M215" s="13"/>
      <c r="N215" s="15"/>
      <c r="O215" s="16"/>
      <c r="P215" s="13"/>
      <c r="Q215" s="13"/>
      <c r="R215" s="17"/>
      <c r="S215" s="13"/>
      <c r="T215" s="17"/>
      <c r="U215" s="13"/>
      <c r="V215" s="16"/>
      <c r="W215" s="13"/>
      <c r="X215" s="13"/>
      <c r="Y215" s="14"/>
      <c r="Z215" s="2"/>
      <c r="AA215" s="13">
        <f>H215*I215/100</f>
      </c>
      <c r="AB215" s="13">
        <f>H215*J215/100</f>
      </c>
      <c r="AC215" s="15">
        <f>H215*K215</f>
      </c>
      <c r="AD215" s="15">
        <f>H215*M215</f>
      </c>
      <c r="AE215" s="13">
        <f>H215*L215/100</f>
      </c>
      <c r="AF215" s="13">
        <f>AA215+AB215+AE215</f>
      </c>
      <c r="AG215" s="13">
        <f>I215+J215+L215</f>
      </c>
      <c r="AH215" s="18">
        <f>$H215*I215</f>
      </c>
      <c r="AI215" s="18">
        <f>$H215*J215</f>
      </c>
      <c r="AJ215" s="18">
        <f>$H215*K215</f>
      </c>
      <c r="AK215" s="18">
        <f>$H215*L215</f>
      </c>
      <c r="AL215" s="18">
        <f>$H215*M215</f>
      </c>
      <c r="AM215" s="14"/>
      <c r="AN215" s="14"/>
      <c r="AO215" s="14"/>
    </row>
    <row x14ac:dyDescent="0.25" r="216" customHeight="1" ht="17.25">
      <c r="A216" s="2" t="s">
        <v>511</v>
      </c>
      <c r="B216" s="2" t="s">
        <v>429</v>
      </c>
      <c r="C216" s="2" t="s">
        <v>40</v>
      </c>
      <c r="D216" s="2" t="s">
        <v>64</v>
      </c>
      <c r="E216" s="12" t="s">
        <v>42</v>
      </c>
      <c r="F216" s="2" t="s">
        <v>43</v>
      </c>
      <c r="G216" s="2" t="s">
        <v>440</v>
      </c>
      <c r="H216" s="14">
        <v>1</v>
      </c>
      <c r="I216" s="14">
        <v>6</v>
      </c>
      <c r="J216" s="14">
        <v>2</v>
      </c>
      <c r="K216" s="14">
        <v>50</v>
      </c>
      <c r="L216" s="13"/>
      <c r="M216" s="13"/>
      <c r="N216" s="15"/>
      <c r="O216" s="16"/>
      <c r="P216" s="13"/>
      <c r="Q216" s="13"/>
      <c r="R216" s="17"/>
      <c r="S216" s="13"/>
      <c r="T216" s="17"/>
      <c r="U216" s="13"/>
      <c r="V216" s="16"/>
      <c r="W216" s="13"/>
      <c r="X216" s="13"/>
      <c r="Y216" s="14"/>
      <c r="Z216" s="2"/>
      <c r="AA216" s="13">
        <f>H216*I216/100</f>
      </c>
      <c r="AB216" s="13">
        <f>H216*J216/100</f>
      </c>
      <c r="AC216" s="15">
        <f>H216*K216</f>
      </c>
      <c r="AD216" s="15">
        <f>H216*M216</f>
      </c>
      <c r="AE216" s="13">
        <f>H216*L216/100</f>
      </c>
      <c r="AF216" s="13">
        <f>AA216+AB216+AE216</f>
      </c>
      <c r="AG216" s="13">
        <f>I216+J216+L216</f>
      </c>
      <c r="AH216" s="18">
        <f>$H216*I216</f>
      </c>
      <c r="AI216" s="18">
        <f>$H216*J216</f>
      </c>
      <c r="AJ216" s="18">
        <f>$H216*K216</f>
      </c>
      <c r="AK216" s="18">
        <f>$H216*L216</f>
      </c>
      <c r="AL216" s="18">
        <f>$H216*M216</f>
      </c>
      <c r="AM216" s="14"/>
      <c r="AN216" s="14"/>
      <c r="AO216" s="14"/>
    </row>
    <row x14ac:dyDescent="0.25" r="217" customHeight="1" ht="17.25">
      <c r="A217" s="2" t="s">
        <v>512</v>
      </c>
      <c r="B217" s="2" t="s">
        <v>429</v>
      </c>
      <c r="C217" s="2" t="s">
        <v>50</v>
      </c>
      <c r="D217" s="2"/>
      <c r="E217" s="2" t="s">
        <v>52</v>
      </c>
      <c r="F217" s="2" t="s">
        <v>513</v>
      </c>
      <c r="G217" s="2" t="s">
        <v>514</v>
      </c>
      <c r="H217" s="13">
        <f>3.675+10.058</f>
      </c>
      <c r="I217" s="13">
        <f>(0.4*3.675+0.19*10.058)/$H217</f>
      </c>
      <c r="J217" s="13">
        <f>(3.61*3.675+3.92*10.058)/$H217</f>
      </c>
      <c r="K217" s="15">
        <f>(37.2*3.675+34.5*10.058)/$H217</f>
      </c>
      <c r="L217" s="13">
        <f>(1.27*3.675+1.33*10.058)/$H217</f>
      </c>
      <c r="M217" s="13">
        <f>(0.25*3.675+0.18*10.058)/$H217</f>
      </c>
      <c r="N217" s="15"/>
      <c r="O217" s="16"/>
      <c r="P217" s="13"/>
      <c r="Q217" s="13"/>
      <c r="R217" s="17"/>
      <c r="S217" s="13"/>
      <c r="T217" s="17"/>
      <c r="U217" s="13"/>
      <c r="V217" s="16"/>
      <c r="W217" s="13"/>
      <c r="X217" s="13"/>
      <c r="Y217" s="14"/>
      <c r="Z217" s="2"/>
      <c r="AA217" s="13">
        <f>H217*I217/100</f>
      </c>
      <c r="AB217" s="13">
        <f>H217*J217/100</f>
      </c>
      <c r="AC217" s="15">
        <f>H217*K217</f>
      </c>
      <c r="AD217" s="15">
        <f>H217*M217</f>
      </c>
      <c r="AE217" s="13">
        <f>H217*L217/100</f>
      </c>
      <c r="AF217" s="13">
        <f>AA217+AB217+AE217</f>
      </c>
      <c r="AG217" s="13">
        <f>I217+J217+L217</f>
      </c>
      <c r="AH217" s="18">
        <f>$H217*I217</f>
      </c>
      <c r="AI217" s="18">
        <f>$H217*J217</f>
      </c>
      <c r="AJ217" s="18">
        <f>$H217*K217</f>
      </c>
      <c r="AK217" s="18">
        <f>$H217*L217</f>
      </c>
      <c r="AL217" s="18">
        <f>$H217*M217</f>
      </c>
      <c r="AM217" s="14"/>
      <c r="AN217" s="14"/>
      <c r="AO217" s="14"/>
    </row>
    <row x14ac:dyDescent="0.25" r="218" customHeight="1" ht="17.25">
      <c r="A218" s="2" t="s">
        <v>515</v>
      </c>
      <c r="B218" s="2" t="s">
        <v>429</v>
      </c>
      <c r="C218" s="2" t="s">
        <v>40</v>
      </c>
      <c r="D218" s="2" t="s">
        <v>41</v>
      </c>
      <c r="E218" s="2" t="s">
        <v>52</v>
      </c>
      <c r="F218" s="2" t="s">
        <v>516</v>
      </c>
      <c r="G218" s="2" t="s">
        <v>502</v>
      </c>
      <c r="H218" s="16">
        <v>0.87498</v>
      </c>
      <c r="I218" s="13">
        <v>13.5</v>
      </c>
      <c r="J218" s="13">
        <v>8.5</v>
      </c>
      <c r="K218" s="14">
        <v>123</v>
      </c>
      <c r="L218" s="13"/>
      <c r="M218" s="13"/>
      <c r="N218" s="15"/>
      <c r="O218" s="16"/>
      <c r="P218" s="13"/>
      <c r="Q218" s="13"/>
      <c r="R218" s="17"/>
      <c r="S218" s="13"/>
      <c r="T218" s="17"/>
      <c r="U218" s="13"/>
      <c r="V218" s="16"/>
      <c r="W218" s="13"/>
      <c r="X218" s="13"/>
      <c r="Y218" s="14"/>
      <c r="Z218" s="2"/>
      <c r="AA218" s="13">
        <f>H218*I218/100</f>
      </c>
      <c r="AB218" s="13">
        <f>H218*J218/100</f>
      </c>
      <c r="AC218" s="15">
        <f>H218*K218</f>
      </c>
      <c r="AD218" s="15">
        <f>H218*M218</f>
      </c>
      <c r="AE218" s="13">
        <f>H218*L218/100</f>
      </c>
      <c r="AF218" s="13">
        <f>AA218+AB218+AE218</f>
      </c>
      <c r="AG218" s="13">
        <f>I218+J218+L218</f>
      </c>
      <c r="AH218" s="18">
        <f>$H218*I218</f>
      </c>
      <c r="AI218" s="18">
        <f>$H218*J218</f>
      </c>
      <c r="AJ218" s="18">
        <f>$H218*K218</f>
      </c>
      <c r="AK218" s="18">
        <f>$H218*L218</f>
      </c>
      <c r="AL218" s="18">
        <f>$H218*M218</f>
      </c>
      <c r="AM218" s="14"/>
      <c r="AN218" s="14"/>
      <c r="AO218" s="14"/>
    </row>
    <row x14ac:dyDescent="0.25" r="219" customHeight="1" ht="17.25">
      <c r="A219" s="2" t="s">
        <v>517</v>
      </c>
      <c r="B219" s="2" t="s">
        <v>429</v>
      </c>
      <c r="C219" s="2" t="s">
        <v>189</v>
      </c>
      <c r="D219" s="2"/>
      <c r="E219" s="12" t="s">
        <v>42</v>
      </c>
      <c r="F219" s="2" t="s">
        <v>43</v>
      </c>
      <c r="G219" s="2" t="s">
        <v>440</v>
      </c>
      <c r="H219" s="16">
        <v>0.160331</v>
      </c>
      <c r="I219" s="13">
        <v>7.11</v>
      </c>
      <c r="J219" s="13">
        <v>8.12</v>
      </c>
      <c r="K219" s="13">
        <v>428.5</v>
      </c>
      <c r="L219" s="13"/>
      <c r="M219" s="13">
        <v>0.34</v>
      </c>
      <c r="N219" s="15"/>
      <c r="O219" s="16"/>
      <c r="P219" s="13"/>
      <c r="Q219" s="13"/>
      <c r="R219" s="17"/>
      <c r="S219" s="13"/>
      <c r="T219" s="17"/>
      <c r="U219" s="13"/>
      <c r="V219" s="16"/>
      <c r="W219" s="13"/>
      <c r="X219" s="13"/>
      <c r="Y219" s="14"/>
      <c r="Z219" s="2"/>
      <c r="AA219" s="13">
        <f>H219*I219/100</f>
      </c>
      <c r="AB219" s="13">
        <f>H219*J219/100</f>
      </c>
      <c r="AC219" s="15">
        <f>H219*K219</f>
      </c>
      <c r="AD219" s="15">
        <f>H219*M219</f>
      </c>
      <c r="AE219" s="13">
        <f>H219*L219/100</f>
      </c>
      <c r="AF219" s="13">
        <f>AA219+AB219+AE219</f>
      </c>
      <c r="AG219" s="13">
        <f>I219+J219+L219</f>
      </c>
      <c r="AH219" s="18">
        <f>$H219*I219</f>
      </c>
      <c r="AI219" s="18">
        <f>$H219*J219</f>
      </c>
      <c r="AJ219" s="18">
        <f>$H219*K219</f>
      </c>
      <c r="AK219" s="18">
        <f>$H219*L219</f>
      </c>
      <c r="AL219" s="18">
        <f>$H219*M219</f>
      </c>
      <c r="AM219" s="14"/>
      <c r="AN219" s="14"/>
      <c r="AO219" s="14"/>
    </row>
    <row x14ac:dyDescent="0.25" r="220" customHeight="1" ht="17.25">
      <c r="A220" s="2" t="s">
        <v>518</v>
      </c>
      <c r="B220" s="2" t="s">
        <v>429</v>
      </c>
      <c r="C220" s="2" t="s">
        <v>56</v>
      </c>
      <c r="D220" s="2" t="s">
        <v>310</v>
      </c>
      <c r="E220" s="12" t="s">
        <v>42</v>
      </c>
      <c r="F220" s="2" t="s">
        <v>519</v>
      </c>
      <c r="G220" s="2" t="s">
        <v>520</v>
      </c>
      <c r="H220" s="16">
        <v>0.196</v>
      </c>
      <c r="I220" s="15">
        <f>0.33*7</f>
      </c>
      <c r="J220" s="15">
        <f>0.67*7</f>
      </c>
      <c r="K220" s="14">
        <v>411</v>
      </c>
      <c r="L220" s="13"/>
      <c r="M220" s="13"/>
      <c r="N220" s="15"/>
      <c r="O220" s="16"/>
      <c r="P220" s="13"/>
      <c r="Q220" s="13"/>
      <c r="R220" s="17"/>
      <c r="S220" s="13"/>
      <c r="T220" s="17"/>
      <c r="U220" s="13"/>
      <c r="V220" s="16"/>
      <c r="W220" s="13"/>
      <c r="X220" s="13"/>
      <c r="Y220" s="14"/>
      <c r="Z220" s="2"/>
      <c r="AA220" s="13">
        <f>H220*I220/100</f>
      </c>
      <c r="AB220" s="13">
        <f>H220*J220/100</f>
      </c>
      <c r="AC220" s="15">
        <f>H220*K220</f>
      </c>
      <c r="AD220" s="15">
        <f>H220*M220</f>
      </c>
      <c r="AE220" s="13">
        <f>H220*L220/100</f>
      </c>
      <c r="AF220" s="22">
        <f>AA220+AB220+AE220</f>
      </c>
      <c r="AG220" s="13">
        <f>I220+J220+L220</f>
      </c>
      <c r="AH220" s="18">
        <f>$H220*I220</f>
      </c>
      <c r="AI220" s="18">
        <f>$H220*J220</f>
      </c>
      <c r="AJ220" s="18">
        <f>$H220*K220</f>
      </c>
      <c r="AK220" s="18">
        <f>$H220*L220</f>
      </c>
      <c r="AL220" s="18">
        <f>$H220*M220</f>
      </c>
      <c r="AM220" s="14"/>
      <c r="AN220" s="14"/>
      <c r="AO220" s="14"/>
    </row>
    <row x14ac:dyDescent="0.25" r="221" customHeight="1" ht="17.25">
      <c r="A221" s="2" t="s">
        <v>521</v>
      </c>
      <c r="B221" s="2" t="s">
        <v>429</v>
      </c>
      <c r="C221" s="2" t="s">
        <v>442</v>
      </c>
      <c r="D221" s="2"/>
      <c r="E221" s="2" t="s">
        <v>52</v>
      </c>
      <c r="F221" s="2" t="s">
        <v>443</v>
      </c>
      <c r="G221" s="2" t="s">
        <v>108</v>
      </c>
      <c r="H221" s="13">
        <v>5.55</v>
      </c>
      <c r="I221" s="13"/>
      <c r="J221" s="13">
        <v>4.7</v>
      </c>
      <c r="K221" s="14"/>
      <c r="L221" s="13"/>
      <c r="M221" s="13"/>
      <c r="N221" s="15"/>
      <c r="O221" s="16"/>
      <c r="P221" s="13"/>
      <c r="Q221" s="13"/>
      <c r="R221" s="17"/>
      <c r="S221" s="13"/>
      <c r="T221" s="17"/>
      <c r="U221" s="13"/>
      <c r="V221" s="16"/>
      <c r="W221" s="13"/>
      <c r="X221" s="13"/>
      <c r="Y221" s="14"/>
      <c r="Z221" s="2"/>
      <c r="AA221" s="13">
        <f>H221*I221/100</f>
      </c>
      <c r="AB221" s="13">
        <f>H221*J221/100</f>
      </c>
      <c r="AC221" s="15">
        <f>H221*K221</f>
      </c>
      <c r="AD221" s="15">
        <f>H221*M221</f>
      </c>
      <c r="AE221" s="13">
        <f>H221*L221/100</f>
      </c>
      <c r="AF221" s="13">
        <f>AA221+AB221+AE221</f>
      </c>
      <c r="AG221" s="13">
        <f>I221+J221+L221</f>
      </c>
      <c r="AH221" s="18">
        <f>$H221*I221</f>
      </c>
      <c r="AI221" s="18">
        <f>$H221*J221</f>
      </c>
      <c r="AJ221" s="18">
        <f>$H221*K221</f>
      </c>
      <c r="AK221" s="18">
        <f>$H221*L221</f>
      </c>
      <c r="AL221" s="18">
        <f>$H221*M221</f>
      </c>
      <c r="AM221" s="14"/>
      <c r="AN221" s="14"/>
      <c r="AO221" s="14"/>
    </row>
    <row x14ac:dyDescent="0.25" r="222" customHeight="1" ht="17.25">
      <c r="A222" s="2" t="s">
        <v>522</v>
      </c>
      <c r="B222" s="2" t="s">
        <v>429</v>
      </c>
      <c r="C222" s="2" t="s">
        <v>442</v>
      </c>
      <c r="D222" s="2"/>
      <c r="E222" s="2" t="s">
        <v>52</v>
      </c>
      <c r="F222" s="2" t="s">
        <v>443</v>
      </c>
      <c r="G222" s="2" t="s">
        <v>108</v>
      </c>
      <c r="H222" s="13">
        <v>0.36</v>
      </c>
      <c r="I222" s="13">
        <v>0.2</v>
      </c>
      <c r="J222" s="15">
        <v>4</v>
      </c>
      <c r="K222" s="14"/>
      <c r="L222" s="13"/>
      <c r="M222" s="13"/>
      <c r="N222" s="15"/>
      <c r="O222" s="16"/>
      <c r="P222" s="13"/>
      <c r="Q222" s="13"/>
      <c r="R222" s="17"/>
      <c r="S222" s="13"/>
      <c r="T222" s="17"/>
      <c r="U222" s="13"/>
      <c r="V222" s="16"/>
      <c r="W222" s="13"/>
      <c r="X222" s="13"/>
      <c r="Y222" s="14"/>
      <c r="Z222" s="2"/>
      <c r="AA222" s="13">
        <f>H222*I222/100</f>
      </c>
      <c r="AB222" s="13">
        <f>H222*J222/100</f>
      </c>
      <c r="AC222" s="15">
        <f>H222*K222</f>
      </c>
      <c r="AD222" s="15">
        <f>H222*M222</f>
      </c>
      <c r="AE222" s="13">
        <f>H222*L222/100</f>
      </c>
      <c r="AF222" s="13">
        <f>AA222+AB222+AE222</f>
      </c>
      <c r="AG222" s="13">
        <f>I222+J222+L222</f>
      </c>
      <c r="AH222" s="18">
        <f>$H222*I222</f>
      </c>
      <c r="AI222" s="18">
        <f>$H222*J222</f>
      </c>
      <c r="AJ222" s="18">
        <f>$H222*K222</f>
      </c>
      <c r="AK222" s="18">
        <f>$H222*L222</f>
      </c>
      <c r="AL222" s="18">
        <f>$H222*M222</f>
      </c>
      <c r="AM222" s="14"/>
      <c r="AN222" s="14"/>
      <c r="AO222" s="14"/>
    </row>
    <row x14ac:dyDescent="0.25" r="223" customHeight="1" ht="17.25">
      <c r="A223" s="2" t="s">
        <v>523</v>
      </c>
      <c r="B223" s="2" t="s">
        <v>429</v>
      </c>
      <c r="C223" s="2" t="s">
        <v>50</v>
      </c>
      <c r="D223" s="2"/>
      <c r="E223" s="12" t="s">
        <v>42</v>
      </c>
      <c r="F223" s="2" t="s">
        <v>524</v>
      </c>
      <c r="G223" s="2" t="s">
        <v>449</v>
      </c>
      <c r="H223" s="13">
        <v>1.015</v>
      </c>
      <c r="I223" s="13"/>
      <c r="J223" s="13">
        <v>2.96</v>
      </c>
      <c r="K223" s="13">
        <v>21.9</v>
      </c>
      <c r="L223" s="13">
        <v>0.83</v>
      </c>
      <c r="M223" s="13"/>
      <c r="N223" s="15"/>
      <c r="O223" s="16"/>
      <c r="P223" s="13"/>
      <c r="Q223" s="13"/>
      <c r="R223" s="17"/>
      <c r="S223" s="13"/>
      <c r="T223" s="17"/>
      <c r="U223" s="13"/>
      <c r="V223" s="16"/>
      <c r="W223" s="13"/>
      <c r="X223" s="13"/>
      <c r="Y223" s="14"/>
      <c r="Z223" s="2"/>
      <c r="AA223" s="13">
        <f>H223*I223/100</f>
      </c>
      <c r="AB223" s="13">
        <f>H223*J223/100</f>
      </c>
      <c r="AC223" s="15">
        <f>H223*K223</f>
      </c>
      <c r="AD223" s="15">
        <f>H223*M223</f>
      </c>
      <c r="AE223" s="13">
        <f>H223*L223/100</f>
      </c>
      <c r="AF223" s="13">
        <f>AA223+AB223+AE223</f>
      </c>
      <c r="AG223" s="13">
        <f>I223+J223+L223</f>
      </c>
      <c r="AH223" s="18">
        <f>$H223*I223</f>
      </c>
      <c r="AI223" s="18">
        <f>$H223*J223</f>
      </c>
      <c r="AJ223" s="18">
        <f>$H223*K223</f>
      </c>
      <c r="AK223" s="18">
        <f>$H223*L223</f>
      </c>
      <c r="AL223" s="18">
        <f>$H223*M223</f>
      </c>
      <c r="AM223" s="14"/>
      <c r="AN223" s="14"/>
      <c r="AO223" s="14"/>
    </row>
    <row x14ac:dyDescent="0.25" r="224" customHeight="1" ht="17.25">
      <c r="A224" s="2" t="s">
        <v>525</v>
      </c>
      <c r="B224" s="2" t="s">
        <v>429</v>
      </c>
      <c r="C224" s="2" t="s">
        <v>50</v>
      </c>
      <c r="D224" s="2"/>
      <c r="E224" s="12" t="s">
        <v>42</v>
      </c>
      <c r="F224" s="2" t="s">
        <v>43</v>
      </c>
      <c r="G224" s="2" t="s">
        <v>526</v>
      </c>
      <c r="H224" s="16">
        <v>0.35</v>
      </c>
      <c r="I224" s="13"/>
      <c r="J224" s="13">
        <v>7.84</v>
      </c>
      <c r="K224" s="13">
        <v>22.31</v>
      </c>
      <c r="L224" s="13">
        <v>1.35</v>
      </c>
      <c r="M224" s="13"/>
      <c r="N224" s="15"/>
      <c r="O224" s="16"/>
      <c r="P224" s="13"/>
      <c r="Q224" s="13"/>
      <c r="R224" s="17"/>
      <c r="S224" s="13"/>
      <c r="T224" s="17"/>
      <c r="U224" s="13"/>
      <c r="V224" s="16"/>
      <c r="W224" s="13"/>
      <c r="X224" s="13"/>
      <c r="Y224" s="14"/>
      <c r="Z224" s="2"/>
      <c r="AA224" s="13">
        <f>H224*I224/100</f>
      </c>
      <c r="AB224" s="13">
        <f>H224*J224/100</f>
      </c>
      <c r="AC224" s="15">
        <f>H224*K224</f>
      </c>
      <c r="AD224" s="15">
        <f>H224*M224</f>
      </c>
      <c r="AE224" s="13">
        <f>H224*L224/100</f>
      </c>
      <c r="AF224" s="13">
        <f>AA224+AB224+AE224</f>
      </c>
      <c r="AG224" s="13">
        <f>I224+J224+L224</f>
      </c>
      <c r="AH224" s="18">
        <f>$H224*I224</f>
      </c>
      <c r="AI224" s="18">
        <f>$H224*J224</f>
      </c>
      <c r="AJ224" s="18">
        <f>$H224*K224</f>
      </c>
      <c r="AK224" s="18">
        <f>$H224*L224</f>
      </c>
      <c r="AL224" s="18">
        <f>$H224*M224</f>
      </c>
      <c r="AM224" s="14"/>
      <c r="AN224" s="14"/>
      <c r="AO224" s="14"/>
    </row>
    <row x14ac:dyDescent="0.25" r="225" customHeight="1" ht="17.25">
      <c r="A225" s="2" t="s">
        <v>527</v>
      </c>
      <c r="B225" s="2" t="s">
        <v>429</v>
      </c>
      <c r="C225" s="2" t="s">
        <v>50</v>
      </c>
      <c r="D225" s="2"/>
      <c r="E225" s="12" t="s">
        <v>42</v>
      </c>
      <c r="F225" s="2" t="s">
        <v>43</v>
      </c>
      <c r="G225" s="2" t="s">
        <v>526</v>
      </c>
      <c r="H225" s="13">
        <v>0.03</v>
      </c>
      <c r="I225" s="13"/>
      <c r="J225" s="13">
        <v>5.51</v>
      </c>
      <c r="K225" s="14"/>
      <c r="L225" s="13">
        <v>1.8</v>
      </c>
      <c r="M225" s="13"/>
      <c r="N225" s="15"/>
      <c r="O225" s="16"/>
      <c r="P225" s="13"/>
      <c r="Q225" s="13"/>
      <c r="R225" s="17"/>
      <c r="S225" s="13"/>
      <c r="T225" s="17"/>
      <c r="U225" s="13"/>
      <c r="V225" s="16"/>
      <c r="W225" s="13"/>
      <c r="X225" s="13"/>
      <c r="Y225" s="14"/>
      <c r="Z225" s="2"/>
      <c r="AA225" s="13">
        <f>H225*I225/100</f>
      </c>
      <c r="AB225" s="13">
        <f>H225*J225/100</f>
      </c>
      <c r="AC225" s="15">
        <f>H225*K225</f>
      </c>
      <c r="AD225" s="15">
        <f>H225*M225</f>
      </c>
      <c r="AE225" s="13">
        <f>H225*L225/100</f>
      </c>
      <c r="AF225" s="13">
        <f>AA225+AB225+AE225</f>
      </c>
      <c r="AG225" s="13">
        <f>I225+J225+L225</f>
      </c>
      <c r="AH225" s="18">
        <f>$H225*I225</f>
      </c>
      <c r="AI225" s="18">
        <f>$H225*J225</f>
      </c>
      <c r="AJ225" s="18">
        <f>$H225*K225</f>
      </c>
      <c r="AK225" s="18">
        <f>$H225*L225</f>
      </c>
      <c r="AL225" s="18">
        <f>$H225*M225</f>
      </c>
      <c r="AM225" s="14"/>
      <c r="AN225" s="14"/>
      <c r="AO225" s="14"/>
    </row>
    <row x14ac:dyDescent="0.25" r="226" customHeight="1" ht="17.25">
      <c r="A226" s="2" t="s">
        <v>528</v>
      </c>
      <c r="B226" s="2" t="s">
        <v>429</v>
      </c>
      <c r="C226" s="2" t="s">
        <v>40</v>
      </c>
      <c r="D226" s="2" t="s">
        <v>64</v>
      </c>
      <c r="E226" s="12" t="s">
        <v>42</v>
      </c>
      <c r="F226" s="2" t="s">
        <v>529</v>
      </c>
      <c r="G226" s="2" t="s">
        <v>498</v>
      </c>
      <c r="H226" s="13">
        <v>2.44</v>
      </c>
      <c r="I226" s="15">
        <v>3.1</v>
      </c>
      <c r="J226" s="13">
        <v>11.9</v>
      </c>
      <c r="K226" s="14"/>
      <c r="L226" s="13"/>
      <c r="M226" s="13"/>
      <c r="N226" s="15"/>
      <c r="O226" s="16"/>
      <c r="P226" s="13"/>
      <c r="Q226" s="13"/>
      <c r="R226" s="17"/>
      <c r="S226" s="13"/>
      <c r="T226" s="17"/>
      <c r="U226" s="13"/>
      <c r="V226" s="16"/>
      <c r="W226" s="13"/>
      <c r="X226" s="13"/>
      <c r="Y226" s="14"/>
      <c r="Z226" s="2"/>
      <c r="AA226" s="13">
        <f>H226*I226/100</f>
      </c>
      <c r="AB226" s="13">
        <f>H226*J226/100</f>
      </c>
      <c r="AC226" s="15">
        <f>H226*K226</f>
      </c>
      <c r="AD226" s="15">
        <f>H226*M226</f>
      </c>
      <c r="AE226" s="13">
        <f>H226*L226/100</f>
      </c>
      <c r="AF226" s="13">
        <f>AA226+AB226+AE226</f>
      </c>
      <c r="AG226" s="13">
        <f>I226+J226+L226</f>
      </c>
      <c r="AH226" s="18">
        <f>$H226*I226</f>
      </c>
      <c r="AI226" s="18">
        <f>$H226*J226</f>
      </c>
      <c r="AJ226" s="18">
        <f>$H226*K226</f>
      </c>
      <c r="AK226" s="18">
        <f>$H226*L226</f>
      </c>
      <c r="AL226" s="18">
        <f>$H226*M226</f>
      </c>
      <c r="AM226" s="14"/>
      <c r="AN226" s="14"/>
      <c r="AO226" s="14"/>
    </row>
    <row x14ac:dyDescent="0.25" r="227" customHeight="1" ht="17.25">
      <c r="A227" s="2" t="s">
        <v>530</v>
      </c>
      <c r="B227" s="2" t="s">
        <v>429</v>
      </c>
      <c r="C227" s="2" t="s">
        <v>50</v>
      </c>
      <c r="D227" s="2"/>
      <c r="E227" s="2" t="s">
        <v>52</v>
      </c>
      <c r="F227" s="2" t="s">
        <v>531</v>
      </c>
      <c r="G227" s="2" t="s">
        <v>73</v>
      </c>
      <c r="H227" s="13">
        <f>0.7+0.2+0.7+0.1</f>
      </c>
      <c r="I227" s="13"/>
      <c r="J227" s="15">
        <f>(4.1*0.7+3.7*0.2+4.8*0.7+4.8*0.1)/$H227</f>
      </c>
      <c r="K227" s="14"/>
      <c r="L227" s="13">
        <f>(3.13*0.7+3.16*0.2+3.22*0.7+2.97*0.1)/$H227</f>
      </c>
      <c r="M227" s="13"/>
      <c r="N227" s="15"/>
      <c r="O227" s="16"/>
      <c r="P227" s="13"/>
      <c r="Q227" s="13"/>
      <c r="R227" s="17"/>
      <c r="S227" s="13"/>
      <c r="T227" s="17"/>
      <c r="U227" s="13"/>
      <c r="V227" s="16"/>
      <c r="W227" s="13"/>
      <c r="X227" s="13"/>
      <c r="Y227" s="14"/>
      <c r="Z227" s="2"/>
      <c r="AA227" s="13">
        <f>H227*I227/100</f>
      </c>
      <c r="AB227" s="13">
        <f>H227*J227/100</f>
      </c>
      <c r="AC227" s="15">
        <f>H227*K227</f>
      </c>
      <c r="AD227" s="15">
        <f>H227*M227</f>
      </c>
      <c r="AE227" s="13">
        <f>H227*L227/100</f>
      </c>
      <c r="AF227" s="13">
        <f>AA227+AB227+AE227</f>
      </c>
      <c r="AG227" s="13">
        <f>I227+J227+L227</f>
      </c>
      <c r="AH227" s="18">
        <f>$H227*I227</f>
      </c>
      <c r="AI227" s="18">
        <f>$H227*J227</f>
      </c>
      <c r="AJ227" s="18">
        <f>$H227*K227</f>
      </c>
      <c r="AK227" s="18">
        <f>$H227*L227</f>
      </c>
      <c r="AL227" s="18">
        <f>$H227*M227</f>
      </c>
      <c r="AM227" s="14"/>
      <c r="AN227" s="14"/>
      <c r="AO227" s="14"/>
    </row>
    <row x14ac:dyDescent="0.25" r="228" customHeight="1" ht="17.25">
      <c r="A228" s="2" t="s">
        <v>532</v>
      </c>
      <c r="B228" s="2" t="s">
        <v>429</v>
      </c>
      <c r="C228" s="2" t="s">
        <v>40</v>
      </c>
      <c r="D228" s="2" t="s">
        <v>64</v>
      </c>
      <c r="E228" s="12" t="s">
        <v>42</v>
      </c>
      <c r="F228" s="2" t="s">
        <v>43</v>
      </c>
      <c r="G228" s="2" t="s">
        <v>533</v>
      </c>
      <c r="H228" s="13">
        <v>2.76</v>
      </c>
      <c r="I228" s="13">
        <v>3.3</v>
      </c>
      <c r="J228" s="13">
        <v>3.1</v>
      </c>
      <c r="K228" s="14"/>
      <c r="L228" s="13"/>
      <c r="M228" s="13"/>
      <c r="N228" s="15"/>
      <c r="O228" s="16"/>
      <c r="P228" s="13"/>
      <c r="Q228" s="13"/>
      <c r="R228" s="17"/>
      <c r="S228" s="13"/>
      <c r="T228" s="17"/>
      <c r="U228" s="13"/>
      <c r="V228" s="16"/>
      <c r="W228" s="13"/>
      <c r="X228" s="13"/>
      <c r="Y228" s="14"/>
      <c r="Z228" s="2"/>
      <c r="AA228" s="13">
        <f>H228*I228/100</f>
      </c>
      <c r="AB228" s="13">
        <f>H228*J228/100</f>
      </c>
      <c r="AC228" s="15">
        <f>H228*K228</f>
      </c>
      <c r="AD228" s="15">
        <f>H228*M228</f>
      </c>
      <c r="AE228" s="13">
        <f>H228*L228/100</f>
      </c>
      <c r="AF228" s="13">
        <f>AA228+AB228+AE228</f>
      </c>
      <c r="AG228" s="13">
        <f>I228+J228+L228</f>
      </c>
      <c r="AH228" s="18">
        <f>$H228*I228</f>
      </c>
      <c r="AI228" s="18">
        <f>$H228*J228</f>
      </c>
      <c r="AJ228" s="18">
        <f>$H228*K228</f>
      </c>
      <c r="AK228" s="18">
        <f>$H228*L228</f>
      </c>
      <c r="AL228" s="18">
        <f>$H228*M228</f>
      </c>
      <c r="AM228" s="14"/>
      <c r="AN228" s="14"/>
      <c r="AO228" s="14"/>
    </row>
    <row x14ac:dyDescent="0.25" r="229" customHeight="1" ht="17.25">
      <c r="A229" s="2" t="s">
        <v>534</v>
      </c>
      <c r="B229" s="2" t="s">
        <v>429</v>
      </c>
      <c r="C229" s="2" t="s">
        <v>50</v>
      </c>
      <c r="D229" s="2"/>
      <c r="E229" s="12" t="s">
        <v>42</v>
      </c>
      <c r="F229" s="2" t="s">
        <v>80</v>
      </c>
      <c r="G229" s="2" t="s">
        <v>440</v>
      </c>
      <c r="H229" s="16">
        <f>0.0197+0.05533</f>
      </c>
      <c r="I229" s="15">
        <f>(5*0.0197+0*0.05533)/$H229</f>
      </c>
      <c r="J229" s="15">
        <f>(7.5*0.0197+7*0.05533)/$H229</f>
      </c>
      <c r="K229" s="17">
        <f>(207*0.0197+102.84*0.05533)/$H229</f>
      </c>
      <c r="L229" s="15">
        <f>(0*0.0197+0.7*0.05533)/$H229</f>
      </c>
      <c r="M229" s="13">
        <f>(2.55*0.0197+10.97*0.05533)/$H229</f>
      </c>
      <c r="N229" s="15"/>
      <c r="O229" s="16"/>
      <c r="P229" s="13"/>
      <c r="Q229" s="13"/>
      <c r="R229" s="17"/>
      <c r="S229" s="13"/>
      <c r="T229" s="17"/>
      <c r="U229" s="13"/>
      <c r="V229" s="16"/>
      <c r="W229" s="13"/>
      <c r="X229" s="13"/>
      <c r="Y229" s="14"/>
      <c r="Z229" s="2"/>
      <c r="AA229" s="13">
        <f>H229*I229/100</f>
      </c>
      <c r="AB229" s="13">
        <f>H229*J229/100</f>
      </c>
      <c r="AC229" s="15">
        <f>H229*K229</f>
      </c>
      <c r="AD229" s="15">
        <f>H229*M229</f>
      </c>
      <c r="AE229" s="13">
        <f>H229*L229/100</f>
      </c>
      <c r="AF229" s="13">
        <f>AA229+AB229+AE229</f>
      </c>
      <c r="AG229" s="13">
        <f>I229+J229+L229</f>
      </c>
      <c r="AH229" s="18">
        <f>$H229*I229</f>
      </c>
      <c r="AI229" s="18">
        <f>$H229*J229</f>
      </c>
      <c r="AJ229" s="18">
        <f>$H229*K229</f>
      </c>
      <c r="AK229" s="18">
        <f>$H229*L229</f>
      </c>
      <c r="AL229" s="18">
        <f>$H229*M229</f>
      </c>
      <c r="AM229" s="14"/>
      <c r="AN229" s="14"/>
      <c r="AO229" s="14"/>
    </row>
    <row x14ac:dyDescent="0.25" r="230" customHeight="1" ht="17.25">
      <c r="A230" s="2" t="s">
        <v>535</v>
      </c>
      <c r="B230" s="2" t="s">
        <v>429</v>
      </c>
      <c r="C230" s="2" t="s">
        <v>536</v>
      </c>
      <c r="D230" s="2"/>
      <c r="E230" s="2" t="s">
        <v>52</v>
      </c>
      <c r="F230" s="2" t="s">
        <v>537</v>
      </c>
      <c r="G230" s="2" t="s">
        <v>538</v>
      </c>
      <c r="H230" s="13">
        <f>46.07+34.29</f>
      </c>
      <c r="I230" s="13"/>
      <c r="J230" s="16">
        <f>(0.132*46.07+0.104*34.29)/$H230</f>
      </c>
      <c r="K230" s="14"/>
      <c r="L230" s="16">
        <f>(0.051*46.07+0.052*34.29)/$H230</f>
      </c>
      <c r="M230" s="13"/>
      <c r="N230" s="15"/>
      <c r="O230" s="16"/>
      <c r="P230" s="13"/>
      <c r="Q230" s="16">
        <f>(0.104*46.07+0.102*34.29)/$H230</f>
      </c>
      <c r="R230" s="17"/>
      <c r="S230" s="13"/>
      <c r="T230" s="17"/>
      <c r="U230" s="13"/>
      <c r="V230" s="16"/>
      <c r="W230" s="13"/>
      <c r="X230" s="13"/>
      <c r="Y230" s="14"/>
      <c r="Z230" s="2"/>
      <c r="AA230" s="13">
        <f>H230*I230/100</f>
      </c>
      <c r="AB230" s="13">
        <f>H230*J230/100</f>
      </c>
      <c r="AC230" s="15">
        <f>H230*K230</f>
      </c>
      <c r="AD230" s="15">
        <f>H230*M230</f>
      </c>
      <c r="AE230" s="13">
        <f>H230*L230/100</f>
      </c>
      <c r="AF230" s="13">
        <f>AA230+AB230+AE230</f>
      </c>
      <c r="AG230" s="13">
        <f>I230+J230+L230</f>
      </c>
      <c r="AH230" s="18">
        <f>$H230*I230</f>
      </c>
      <c r="AI230" s="18">
        <f>$H230*J230</f>
      </c>
      <c r="AJ230" s="18">
        <f>$H230*K230</f>
      </c>
      <c r="AK230" s="18">
        <f>$H230*L230</f>
      </c>
      <c r="AL230" s="18">
        <f>$H230*M230</f>
      </c>
      <c r="AM230" s="14"/>
      <c r="AN230" s="14"/>
      <c r="AO230" s="14"/>
    </row>
    <row x14ac:dyDescent="0.25" r="231" customHeight="1" ht="17.25">
      <c r="A231" s="2" t="s">
        <v>539</v>
      </c>
      <c r="B231" s="2" t="s">
        <v>429</v>
      </c>
      <c r="C231" s="2" t="s">
        <v>40</v>
      </c>
      <c r="D231" s="2" t="s">
        <v>41</v>
      </c>
      <c r="E231" s="12" t="s">
        <v>42</v>
      </c>
      <c r="F231" s="2" t="s">
        <v>43</v>
      </c>
      <c r="G231" s="2" t="s">
        <v>540</v>
      </c>
      <c r="H231" s="14">
        <v>1</v>
      </c>
      <c r="I231" s="13"/>
      <c r="J231" s="14">
        <v>13</v>
      </c>
      <c r="K231" s="14"/>
      <c r="L231" s="13"/>
      <c r="M231" s="13"/>
      <c r="N231" s="15"/>
      <c r="O231" s="16"/>
      <c r="P231" s="13"/>
      <c r="Q231" s="13"/>
      <c r="R231" s="17"/>
      <c r="S231" s="13"/>
      <c r="T231" s="17"/>
      <c r="U231" s="13"/>
      <c r="V231" s="16"/>
      <c r="W231" s="13"/>
      <c r="X231" s="13"/>
      <c r="Y231" s="14"/>
      <c r="Z231" s="2"/>
      <c r="AA231" s="13">
        <f>H231*I231/100</f>
      </c>
      <c r="AB231" s="13">
        <f>H231*J231/100</f>
      </c>
      <c r="AC231" s="15">
        <f>H231*K231</f>
      </c>
      <c r="AD231" s="15">
        <f>H231*M231</f>
      </c>
      <c r="AE231" s="13">
        <f>H231*L231/100</f>
      </c>
      <c r="AF231" s="13">
        <f>AA231+AB231+AE231</f>
      </c>
      <c r="AG231" s="13">
        <f>I231+J231+L231</f>
      </c>
      <c r="AH231" s="18">
        <f>$H231*I231</f>
      </c>
      <c r="AI231" s="18">
        <f>$H231*J231</f>
      </c>
      <c r="AJ231" s="18">
        <f>$H231*K231</f>
      </c>
      <c r="AK231" s="18">
        <f>$H231*L231</f>
      </c>
      <c r="AL231" s="18">
        <f>$H231*M231</f>
      </c>
      <c r="AM231" s="14"/>
      <c r="AN231" s="14"/>
      <c r="AO231" s="14"/>
    </row>
    <row x14ac:dyDescent="0.25" r="232" customHeight="1" ht="17.25">
      <c r="A232" s="2" t="s">
        <v>541</v>
      </c>
      <c r="B232" s="2" t="s">
        <v>429</v>
      </c>
      <c r="C232" s="2" t="s">
        <v>50</v>
      </c>
      <c r="D232" s="2"/>
      <c r="E232" s="12" t="s">
        <v>42</v>
      </c>
      <c r="F232" s="2" t="s">
        <v>542</v>
      </c>
      <c r="G232" s="2" t="s">
        <v>440</v>
      </c>
      <c r="H232" s="16">
        <v>6.3497</v>
      </c>
      <c r="I232" s="13"/>
      <c r="J232" s="15">
        <v>2.5</v>
      </c>
      <c r="K232" s="14">
        <v>20</v>
      </c>
      <c r="L232" s="13">
        <v>0.6</v>
      </c>
      <c r="M232" s="13">
        <v>0.5</v>
      </c>
      <c r="N232" s="15"/>
      <c r="O232" s="16"/>
      <c r="P232" s="13"/>
      <c r="Q232" s="13"/>
      <c r="R232" s="17"/>
      <c r="S232" s="13"/>
      <c r="T232" s="17"/>
      <c r="U232" s="13"/>
      <c r="V232" s="16"/>
      <c r="W232" s="13"/>
      <c r="X232" s="13"/>
      <c r="Y232" s="14"/>
      <c r="Z232" s="2"/>
      <c r="AA232" s="13">
        <f>H232*I232/100</f>
      </c>
      <c r="AB232" s="13">
        <f>H232*J232/100</f>
      </c>
      <c r="AC232" s="15">
        <f>H232*K232</f>
      </c>
      <c r="AD232" s="15">
        <f>H232*M232</f>
      </c>
      <c r="AE232" s="13">
        <f>H232*L232/100</f>
      </c>
      <c r="AF232" s="13">
        <f>AA232+AB232+AE232</f>
      </c>
      <c r="AG232" s="13">
        <f>I232+J232+L232</f>
      </c>
      <c r="AH232" s="18">
        <f>$H232*I232</f>
      </c>
      <c r="AI232" s="18">
        <f>$H232*J232</f>
      </c>
      <c r="AJ232" s="18">
        <f>$H232*K232</f>
      </c>
      <c r="AK232" s="18">
        <f>$H232*L232</f>
      </c>
      <c r="AL232" s="18">
        <f>$H232*M232</f>
      </c>
      <c r="AM232" s="14"/>
      <c r="AN232" s="14"/>
      <c r="AO232" s="14"/>
    </row>
    <row x14ac:dyDescent="0.25" r="233" customHeight="1" ht="17.25">
      <c r="A233" s="2" t="s">
        <v>543</v>
      </c>
      <c r="B233" s="2" t="s">
        <v>429</v>
      </c>
      <c r="C233" s="2" t="s">
        <v>159</v>
      </c>
      <c r="D233" s="2"/>
      <c r="E233" s="12" t="s">
        <v>42</v>
      </c>
      <c r="F233" s="2" t="s">
        <v>43</v>
      </c>
      <c r="G233" s="2" t="s">
        <v>440</v>
      </c>
      <c r="H233" s="16">
        <v>0.9071</v>
      </c>
      <c r="I233" s="13">
        <v>2.23</v>
      </c>
      <c r="J233" s="15">
        <v>3.79</v>
      </c>
      <c r="K233" s="13">
        <v>214.9</v>
      </c>
      <c r="L233" s="13"/>
      <c r="M233" s="13"/>
      <c r="N233" s="15"/>
      <c r="O233" s="16"/>
      <c r="P233" s="13"/>
      <c r="Q233" s="13"/>
      <c r="R233" s="17"/>
      <c r="S233" s="13"/>
      <c r="T233" s="17"/>
      <c r="U233" s="13"/>
      <c r="V233" s="16"/>
      <c r="W233" s="13"/>
      <c r="X233" s="13"/>
      <c r="Y233" s="14"/>
      <c r="Z233" s="2"/>
      <c r="AA233" s="13">
        <f>H233*I233/100</f>
      </c>
      <c r="AB233" s="13">
        <f>H233*J233/100</f>
      </c>
      <c r="AC233" s="15">
        <f>H233*K233</f>
      </c>
      <c r="AD233" s="15">
        <f>H233*M233</f>
      </c>
      <c r="AE233" s="13">
        <f>H233*L233/100</f>
      </c>
      <c r="AF233" s="13">
        <f>AA233+AB233+AE233</f>
      </c>
      <c r="AG233" s="13">
        <f>I233+J233+L233</f>
      </c>
      <c r="AH233" s="18">
        <f>$H233*I233</f>
      </c>
      <c r="AI233" s="18">
        <f>$H233*J233</f>
      </c>
      <c r="AJ233" s="18">
        <f>$H233*K233</f>
      </c>
      <c r="AK233" s="18">
        <f>$H233*L233</f>
      </c>
      <c r="AL233" s="18">
        <f>$H233*M233</f>
      </c>
      <c r="AM233" s="14"/>
      <c r="AN233" s="14"/>
      <c r="AO233" s="14"/>
    </row>
    <row x14ac:dyDescent="0.25" r="234" customHeight="1" ht="17.25">
      <c r="A234" s="2" t="s">
        <v>544</v>
      </c>
      <c r="B234" s="2" t="s">
        <v>429</v>
      </c>
      <c r="C234" s="2" t="s">
        <v>50</v>
      </c>
      <c r="D234" s="2"/>
      <c r="E234" s="2" t="s">
        <v>52</v>
      </c>
      <c r="F234" s="2" t="s">
        <v>65</v>
      </c>
      <c r="G234" s="2" t="s">
        <v>66</v>
      </c>
      <c r="H234" s="15">
        <f>6.7+2.3</f>
      </c>
      <c r="I234" s="13">
        <f>(1.1*6.7+1.3*2.3)/$H234</f>
      </c>
      <c r="J234" s="13">
        <f>(3.94*6.7+4.3*2.3)/$H234</f>
      </c>
      <c r="K234" s="15">
        <f>(52*6.7+55*2.3)/$H234</f>
      </c>
      <c r="L234" s="13">
        <f>(1.15*6.7+1.1*2.3)/$H234</f>
      </c>
      <c r="M234" s="15">
        <f>(0.84*6.7+0.8*2.3)/$H234</f>
      </c>
      <c r="N234" s="15"/>
      <c r="O234" s="16"/>
      <c r="P234" s="13"/>
      <c r="Q234" s="13"/>
      <c r="R234" s="17"/>
      <c r="S234" s="13"/>
      <c r="T234" s="17"/>
      <c r="U234" s="13"/>
      <c r="V234" s="16"/>
      <c r="W234" s="13"/>
      <c r="X234" s="13"/>
      <c r="Y234" s="14"/>
      <c r="Z234" s="2"/>
      <c r="AA234" s="13">
        <f>H234*I234/100</f>
      </c>
      <c r="AB234" s="13">
        <f>H234*J234/100</f>
      </c>
      <c r="AC234" s="15">
        <f>H234*K234</f>
      </c>
      <c r="AD234" s="15">
        <f>H234*M234</f>
      </c>
      <c r="AE234" s="13">
        <f>H234*L234/100</f>
      </c>
      <c r="AF234" s="13">
        <f>AA234+AB234+AE234</f>
      </c>
      <c r="AG234" s="13">
        <f>I234+J234+L234</f>
      </c>
      <c r="AH234" s="18">
        <f>$H234*I234</f>
      </c>
      <c r="AI234" s="18">
        <f>$H234*J234</f>
      </c>
      <c r="AJ234" s="18">
        <f>$H234*K234</f>
      </c>
      <c r="AK234" s="18">
        <f>$H234*L234</f>
      </c>
      <c r="AL234" s="18">
        <f>$H234*M234</f>
      </c>
      <c r="AM234" s="14"/>
      <c r="AN234" s="14"/>
      <c r="AO234" s="14"/>
    </row>
    <row x14ac:dyDescent="0.25" r="235" customHeight="1" ht="17.25">
      <c r="A235" s="2" t="s">
        <v>545</v>
      </c>
      <c r="B235" s="2" t="s">
        <v>429</v>
      </c>
      <c r="C235" s="2" t="s">
        <v>40</v>
      </c>
      <c r="D235" s="2" t="s">
        <v>41</v>
      </c>
      <c r="E235" s="12" t="s">
        <v>42</v>
      </c>
      <c r="F235" s="2" t="s">
        <v>43</v>
      </c>
      <c r="G235" s="2" t="s">
        <v>546</v>
      </c>
      <c r="H235" s="13">
        <v>1.9</v>
      </c>
      <c r="I235" s="13">
        <v>1.2</v>
      </c>
      <c r="J235" s="13">
        <v>3.5</v>
      </c>
      <c r="K235" s="14"/>
      <c r="L235" s="13"/>
      <c r="M235" s="13"/>
      <c r="N235" s="15"/>
      <c r="O235" s="16"/>
      <c r="P235" s="13"/>
      <c r="Q235" s="13"/>
      <c r="R235" s="17"/>
      <c r="S235" s="13"/>
      <c r="T235" s="17"/>
      <c r="U235" s="13"/>
      <c r="V235" s="16"/>
      <c r="W235" s="13"/>
      <c r="X235" s="13"/>
      <c r="Y235" s="14"/>
      <c r="Z235" s="2"/>
      <c r="AA235" s="13">
        <f>H235*I235/100</f>
      </c>
      <c r="AB235" s="13">
        <f>H235*J235/100</f>
      </c>
      <c r="AC235" s="15">
        <f>H235*K235</f>
      </c>
      <c r="AD235" s="15">
        <f>H235*M235</f>
      </c>
      <c r="AE235" s="13">
        <f>H235*L235/100</f>
      </c>
      <c r="AF235" s="13">
        <f>AA235+AB235+AE235</f>
      </c>
      <c r="AG235" s="13">
        <f>I235+J235+L235</f>
      </c>
      <c r="AH235" s="18">
        <f>$H235*I235</f>
      </c>
      <c r="AI235" s="18">
        <f>$H235*J235</f>
      </c>
      <c r="AJ235" s="18">
        <f>$H235*K235</f>
      </c>
      <c r="AK235" s="18">
        <f>$H235*L235</f>
      </c>
      <c r="AL235" s="18">
        <f>$H235*M235</f>
      </c>
      <c r="AM235" s="14"/>
      <c r="AN235" s="14"/>
      <c r="AO235" s="14"/>
    </row>
    <row x14ac:dyDescent="0.25" r="236" customHeight="1" ht="17.25">
      <c r="A236" s="2" t="s">
        <v>547</v>
      </c>
      <c r="B236" s="2" t="s">
        <v>429</v>
      </c>
      <c r="C236" s="2" t="s">
        <v>50</v>
      </c>
      <c r="D236" s="2"/>
      <c r="E236" s="2" t="s">
        <v>52</v>
      </c>
      <c r="F236" s="2" t="s">
        <v>548</v>
      </c>
      <c r="G236" s="2" t="s">
        <v>549</v>
      </c>
      <c r="H236" s="16">
        <f>0.74+0.0507</f>
      </c>
      <c r="I236" s="13">
        <f>(0.87*0.74+0.59*0.0507)/$H236</f>
      </c>
      <c r="J236" s="13">
        <f>(9.48*0.74+6.49*0.0507)/$H236</f>
      </c>
      <c r="K236" s="15">
        <f>(158.88*0.74+68.3*0.0507)/$H236</f>
      </c>
      <c r="L236" s="13">
        <f>(0.87*0.74+0.49*0.0507)/$H236</f>
      </c>
      <c r="M236" s="13">
        <f>(4.99*0.74+2.11*0.0507)/$H236</f>
      </c>
      <c r="N236" s="15"/>
      <c r="O236" s="16"/>
      <c r="P236" s="13"/>
      <c r="Q236" s="13"/>
      <c r="R236" s="17"/>
      <c r="S236" s="13"/>
      <c r="T236" s="17"/>
      <c r="U236" s="13"/>
      <c r="V236" s="16"/>
      <c r="W236" s="13"/>
      <c r="X236" s="13"/>
      <c r="Y236" s="14"/>
      <c r="Z236" s="2"/>
      <c r="AA236" s="13">
        <f>H236*I236/100</f>
      </c>
      <c r="AB236" s="13">
        <f>H236*J236/100</f>
      </c>
      <c r="AC236" s="15">
        <f>H236*K236</f>
      </c>
      <c r="AD236" s="15">
        <f>H236*M236</f>
      </c>
      <c r="AE236" s="13">
        <f>H236*L236/100</f>
      </c>
      <c r="AF236" s="13">
        <f>AA236+AB236+AE236</f>
      </c>
      <c r="AG236" s="13">
        <f>I236+J236+L236</f>
      </c>
      <c r="AH236" s="18">
        <f>$H236*I236</f>
      </c>
      <c r="AI236" s="18">
        <f>$H236*J236</f>
      </c>
      <c r="AJ236" s="18">
        <f>$H236*K236</f>
      </c>
      <c r="AK236" s="18">
        <f>$H236*L236</f>
      </c>
      <c r="AL236" s="18">
        <f>$H236*M236</f>
      </c>
      <c r="AM236" s="14"/>
      <c r="AN236" s="14"/>
      <c r="AO236" s="14"/>
    </row>
    <row x14ac:dyDescent="0.25" r="237" customHeight="1" ht="17.25">
      <c r="A237" s="2" t="s">
        <v>550</v>
      </c>
      <c r="B237" s="2" t="s">
        <v>429</v>
      </c>
      <c r="C237" s="2" t="s">
        <v>50</v>
      </c>
      <c r="D237" s="2"/>
      <c r="E237" s="2" t="s">
        <v>52</v>
      </c>
      <c r="F237" s="2" t="s">
        <v>60</v>
      </c>
      <c r="G237" s="2" t="s">
        <v>551</v>
      </c>
      <c r="H237" s="16">
        <v>0.587961</v>
      </c>
      <c r="I237" s="13"/>
      <c r="J237" s="13">
        <v>7.63</v>
      </c>
      <c r="K237" s="14"/>
      <c r="L237" s="13">
        <v>0.35</v>
      </c>
      <c r="M237" s="13"/>
      <c r="N237" s="15"/>
      <c r="O237" s="16"/>
      <c r="P237" s="13"/>
      <c r="Q237" s="13"/>
      <c r="R237" s="17"/>
      <c r="S237" s="13"/>
      <c r="T237" s="17"/>
      <c r="U237" s="13"/>
      <c r="V237" s="16"/>
      <c r="W237" s="13"/>
      <c r="X237" s="13"/>
      <c r="Y237" s="14"/>
      <c r="Z237" s="2"/>
      <c r="AA237" s="13">
        <f>H237*I237/100</f>
      </c>
      <c r="AB237" s="13">
        <f>H237*J237/100</f>
      </c>
      <c r="AC237" s="15">
        <f>H237*K237</f>
      </c>
      <c r="AD237" s="15">
        <f>H237*M237</f>
      </c>
      <c r="AE237" s="13">
        <f>H237*L237/100</f>
      </c>
      <c r="AF237" s="13">
        <f>AA237+AB237+AE237</f>
      </c>
      <c r="AG237" s="13">
        <f>I237+J237+L237</f>
      </c>
      <c r="AH237" s="18">
        <f>$H237*I237</f>
      </c>
      <c r="AI237" s="18">
        <f>$H237*J237</f>
      </c>
      <c r="AJ237" s="18">
        <f>$H237*K237</f>
      </c>
      <c r="AK237" s="18">
        <f>$H237*L237</f>
      </c>
      <c r="AL237" s="18">
        <f>$H237*M237</f>
      </c>
      <c r="AM237" s="14"/>
      <c r="AN237" s="14"/>
      <c r="AO237" s="14"/>
    </row>
    <row x14ac:dyDescent="0.25" r="238" customHeight="1" ht="17.25">
      <c r="A238" s="2" t="s">
        <v>552</v>
      </c>
      <c r="B238" s="2" t="s">
        <v>429</v>
      </c>
      <c r="C238" s="2" t="s">
        <v>40</v>
      </c>
      <c r="D238" s="2" t="s">
        <v>64</v>
      </c>
      <c r="E238" s="12" t="s">
        <v>42</v>
      </c>
      <c r="F238" s="2" t="s">
        <v>43</v>
      </c>
      <c r="G238" s="2" t="s">
        <v>463</v>
      </c>
      <c r="H238" s="13">
        <f>57.6-53.183</f>
      </c>
      <c r="I238" s="15">
        <f>(3.4*57.6-3.4*53.183)/$H238</f>
      </c>
      <c r="J238" s="15">
        <f>(5.7*57.6-5*53.183)/$H238</f>
      </c>
      <c r="K238" s="17">
        <f>(36*57.6-33*53.183)/$H238</f>
      </c>
      <c r="L238" s="13"/>
      <c r="M238" s="13"/>
      <c r="N238" s="15"/>
      <c r="O238" s="16"/>
      <c r="P238" s="13"/>
      <c r="Q238" s="13"/>
      <c r="R238" s="17"/>
      <c r="S238" s="13"/>
      <c r="T238" s="17"/>
      <c r="U238" s="13"/>
      <c r="V238" s="16"/>
      <c r="W238" s="13"/>
      <c r="X238" s="13"/>
      <c r="Y238" s="14"/>
      <c r="Z238" s="2"/>
      <c r="AA238" s="13">
        <f>H238*I238/100</f>
      </c>
      <c r="AB238" s="13">
        <f>H238*J238/100</f>
      </c>
      <c r="AC238" s="15">
        <f>H238*K238</f>
      </c>
      <c r="AD238" s="15">
        <f>H238*M238</f>
      </c>
      <c r="AE238" s="13">
        <f>H238*L238/100</f>
      </c>
      <c r="AF238" s="13">
        <f>AA238+AB238+AE238</f>
      </c>
      <c r="AG238" s="13">
        <f>I238+J238+L238</f>
      </c>
      <c r="AH238" s="18">
        <f>$H238*I238</f>
      </c>
      <c r="AI238" s="18">
        <f>$H238*J238</f>
      </c>
      <c r="AJ238" s="18">
        <f>$H238*K238</f>
      </c>
      <c r="AK238" s="18">
        <f>$H238*L238</f>
      </c>
      <c r="AL238" s="18">
        <f>$H238*M238</f>
      </c>
      <c r="AM238" s="14"/>
      <c r="AN238" s="14"/>
      <c r="AO238" s="14"/>
    </row>
    <row x14ac:dyDescent="0.25" r="239" customHeight="1" ht="17.25">
      <c r="A239" s="2" t="s">
        <v>553</v>
      </c>
      <c r="B239" s="2" t="s">
        <v>429</v>
      </c>
      <c r="C239" s="2" t="s">
        <v>50</v>
      </c>
      <c r="D239" s="2"/>
      <c r="E239" s="2" t="s">
        <v>52</v>
      </c>
      <c r="F239" s="2" t="s">
        <v>43</v>
      </c>
      <c r="G239" s="2" t="s">
        <v>554</v>
      </c>
      <c r="H239" s="13">
        <v>0.05</v>
      </c>
      <c r="I239" s="15">
        <v>1</v>
      </c>
      <c r="J239" s="13">
        <v>7.1</v>
      </c>
      <c r="K239" s="14">
        <v>130</v>
      </c>
      <c r="L239" s="13">
        <v>4.7</v>
      </c>
      <c r="M239" s="15">
        <v>2</v>
      </c>
      <c r="N239" s="15"/>
      <c r="O239" s="16"/>
      <c r="P239" s="13"/>
      <c r="Q239" s="13"/>
      <c r="R239" s="17"/>
      <c r="S239" s="13"/>
      <c r="T239" s="17"/>
      <c r="U239" s="13"/>
      <c r="V239" s="16"/>
      <c r="W239" s="13"/>
      <c r="X239" s="13"/>
      <c r="Y239" s="14"/>
      <c r="Z239" s="2"/>
      <c r="AA239" s="13">
        <f>H239*I239/100</f>
      </c>
      <c r="AB239" s="13">
        <f>H239*J239/100</f>
      </c>
      <c r="AC239" s="15">
        <f>H239*K239</f>
      </c>
      <c r="AD239" s="15">
        <f>H239*M239</f>
      </c>
      <c r="AE239" s="13">
        <f>H239*L239/100</f>
      </c>
      <c r="AF239" s="13">
        <f>AA239+AB239+AE239</f>
      </c>
      <c r="AG239" s="13">
        <f>I239+J239+L239</f>
      </c>
      <c r="AH239" s="18">
        <f>$H239*I239</f>
      </c>
      <c r="AI239" s="18">
        <f>$H239*J239</f>
      </c>
      <c r="AJ239" s="18">
        <f>$H239*K239</f>
      </c>
      <c r="AK239" s="18">
        <f>$H239*L239</f>
      </c>
      <c r="AL239" s="18">
        <f>$H239*M239</f>
      </c>
      <c r="AM239" s="14"/>
      <c r="AN239" s="14"/>
      <c r="AO239" s="14"/>
    </row>
    <row x14ac:dyDescent="0.25" r="240" customHeight="1" ht="17.25">
      <c r="A240" s="2" t="s">
        <v>555</v>
      </c>
      <c r="B240" s="2" t="s">
        <v>429</v>
      </c>
      <c r="C240" s="2" t="s">
        <v>40</v>
      </c>
      <c r="D240" s="2" t="s">
        <v>64</v>
      </c>
      <c r="E240" s="12" t="s">
        <v>42</v>
      </c>
      <c r="F240" s="2" t="s">
        <v>556</v>
      </c>
      <c r="G240" s="2" t="s">
        <v>557</v>
      </c>
      <c r="H240" s="16">
        <v>0.580544</v>
      </c>
      <c r="I240" s="13">
        <v>1.34</v>
      </c>
      <c r="J240" s="13">
        <v>2.22</v>
      </c>
      <c r="K240" s="14">
        <v>342</v>
      </c>
      <c r="L240" s="13"/>
      <c r="M240" s="13"/>
      <c r="N240" s="15"/>
      <c r="O240" s="16"/>
      <c r="P240" s="13"/>
      <c r="Q240" s="13"/>
      <c r="R240" s="17"/>
      <c r="S240" s="13"/>
      <c r="T240" s="17"/>
      <c r="U240" s="13"/>
      <c r="V240" s="16"/>
      <c r="W240" s="13"/>
      <c r="X240" s="13"/>
      <c r="Y240" s="14"/>
      <c r="Z240" s="2"/>
      <c r="AA240" s="13">
        <f>H240*I240/100</f>
      </c>
      <c r="AB240" s="13">
        <f>H240*J240/100</f>
      </c>
      <c r="AC240" s="15">
        <f>H240*K240</f>
      </c>
      <c r="AD240" s="15">
        <f>H240*M240</f>
      </c>
      <c r="AE240" s="13">
        <f>H240*L240/100</f>
      </c>
      <c r="AF240" s="13">
        <f>AA240+AB240+AE240</f>
      </c>
      <c r="AG240" s="13">
        <f>I240+J240+L240</f>
      </c>
      <c r="AH240" s="18">
        <f>$H240*I240</f>
      </c>
      <c r="AI240" s="18">
        <f>$H240*J240</f>
      </c>
      <c r="AJ240" s="18">
        <f>$H240*K240</f>
      </c>
      <c r="AK240" s="18">
        <f>$H240*L240</f>
      </c>
      <c r="AL240" s="18">
        <f>$H240*M240</f>
      </c>
      <c r="AM240" s="14"/>
      <c r="AN240" s="14"/>
      <c r="AO240" s="14"/>
    </row>
    <row x14ac:dyDescent="0.25" r="241" customHeight="1" ht="17.25">
      <c r="A241" s="2" t="s">
        <v>558</v>
      </c>
      <c r="B241" s="2" t="s">
        <v>429</v>
      </c>
      <c r="C241" s="2" t="s">
        <v>40</v>
      </c>
      <c r="D241" s="2" t="s">
        <v>41</v>
      </c>
      <c r="E241" s="12" t="s">
        <v>42</v>
      </c>
      <c r="F241" s="2" t="s">
        <v>559</v>
      </c>
      <c r="G241" s="2" t="s">
        <v>546</v>
      </c>
      <c r="H241" s="14">
        <v>50</v>
      </c>
      <c r="I241" s="13">
        <v>0.2</v>
      </c>
      <c r="J241" s="13">
        <v>4.7</v>
      </c>
      <c r="K241" s="14"/>
      <c r="L241" s="13"/>
      <c r="M241" s="13"/>
      <c r="N241" s="15"/>
      <c r="O241" s="16"/>
      <c r="P241" s="13"/>
      <c r="Q241" s="13"/>
      <c r="R241" s="17"/>
      <c r="S241" s="13"/>
      <c r="T241" s="17"/>
      <c r="U241" s="13"/>
      <c r="V241" s="16"/>
      <c r="W241" s="13"/>
      <c r="X241" s="13"/>
      <c r="Y241" s="14"/>
      <c r="Z241" s="2"/>
      <c r="AA241" s="13">
        <f>H241*I241/100</f>
      </c>
      <c r="AB241" s="13">
        <f>H241*J241/100</f>
      </c>
      <c r="AC241" s="15">
        <f>H241*K241</f>
      </c>
      <c r="AD241" s="15">
        <f>H241*M241</f>
      </c>
      <c r="AE241" s="13">
        <f>H241*L241/100</f>
      </c>
      <c r="AF241" s="13">
        <f>AA241+AB241+AE241</f>
      </c>
      <c r="AG241" s="13">
        <f>I241+J241+L241</f>
      </c>
      <c r="AH241" s="18">
        <f>$H241*I241</f>
      </c>
      <c r="AI241" s="18">
        <f>$H241*J241</f>
      </c>
      <c r="AJ241" s="18">
        <f>$H241*K241</f>
      </c>
      <c r="AK241" s="18">
        <f>$H241*L241</f>
      </c>
      <c r="AL241" s="18">
        <f>$H241*M241</f>
      </c>
      <c r="AM241" s="14"/>
      <c r="AN241" s="14"/>
      <c r="AO241" s="14"/>
    </row>
    <row x14ac:dyDescent="0.25" r="242" customHeight="1" ht="17.25">
      <c r="A242" s="2" t="s">
        <v>560</v>
      </c>
      <c r="B242" s="2" t="s">
        <v>429</v>
      </c>
      <c r="C242" s="2" t="s">
        <v>50</v>
      </c>
      <c r="D242" s="2"/>
      <c r="E242" s="12" t="s">
        <v>42</v>
      </c>
      <c r="F242" s="2" t="s">
        <v>561</v>
      </c>
      <c r="G242" s="2" t="s">
        <v>562</v>
      </c>
      <c r="H242" s="16">
        <v>2.63088</v>
      </c>
      <c r="I242" s="13">
        <v>0.53</v>
      </c>
      <c r="J242" s="13">
        <v>3.67</v>
      </c>
      <c r="K242" s="14"/>
      <c r="L242" s="13"/>
      <c r="M242" s="13"/>
      <c r="N242" s="15"/>
      <c r="O242" s="16"/>
      <c r="P242" s="13"/>
      <c r="Q242" s="13"/>
      <c r="R242" s="17"/>
      <c r="S242" s="13"/>
      <c r="T242" s="17"/>
      <c r="U242" s="13"/>
      <c r="V242" s="16"/>
      <c r="W242" s="13"/>
      <c r="X242" s="13"/>
      <c r="Y242" s="14"/>
      <c r="Z242" s="2"/>
      <c r="AA242" s="13">
        <f>H242*I242/100</f>
      </c>
      <c r="AB242" s="13">
        <f>H242*J242/100</f>
      </c>
      <c r="AC242" s="15">
        <f>H242*K242</f>
      </c>
      <c r="AD242" s="15">
        <f>H242*M242</f>
      </c>
      <c r="AE242" s="13">
        <f>H242*L242/100</f>
      </c>
      <c r="AF242" s="13">
        <f>AA242+AB242+AE242</f>
      </c>
      <c r="AG242" s="13">
        <f>I242+J242+L242</f>
      </c>
      <c r="AH242" s="18">
        <f>$H242*I242</f>
      </c>
      <c r="AI242" s="18">
        <f>$H242*J242</f>
      </c>
      <c r="AJ242" s="18">
        <f>$H242*K242</f>
      </c>
      <c r="AK242" s="18">
        <f>$H242*L242</f>
      </c>
      <c r="AL242" s="18">
        <f>$H242*M242</f>
      </c>
      <c r="AM242" s="14"/>
      <c r="AN242" s="14"/>
      <c r="AO242" s="14"/>
    </row>
    <row x14ac:dyDescent="0.25" r="243" customHeight="1" ht="17.25">
      <c r="A243" s="2" t="s">
        <v>563</v>
      </c>
      <c r="B243" s="2" t="s">
        <v>429</v>
      </c>
      <c r="C243" s="2" t="s">
        <v>40</v>
      </c>
      <c r="D243" s="2" t="s">
        <v>41</v>
      </c>
      <c r="E243" s="2" t="s">
        <v>52</v>
      </c>
      <c r="F243" s="2" t="s">
        <v>43</v>
      </c>
      <c r="G243" s="2" t="s">
        <v>502</v>
      </c>
      <c r="H243" s="16">
        <v>2.494758</v>
      </c>
      <c r="I243" s="13"/>
      <c r="J243" s="14">
        <v>11</v>
      </c>
      <c r="K243" s="14"/>
      <c r="L243" s="13"/>
      <c r="M243" s="13"/>
      <c r="N243" s="15"/>
      <c r="O243" s="16"/>
      <c r="P243" s="13"/>
      <c r="Q243" s="13"/>
      <c r="R243" s="17"/>
      <c r="S243" s="13"/>
      <c r="T243" s="17"/>
      <c r="U243" s="13"/>
      <c r="V243" s="16"/>
      <c r="W243" s="13"/>
      <c r="X243" s="13"/>
      <c r="Y243" s="14"/>
      <c r="Z243" s="2"/>
      <c r="AA243" s="13">
        <f>H243*I243/100</f>
      </c>
      <c r="AB243" s="13">
        <f>H243*J243/100</f>
      </c>
      <c r="AC243" s="15">
        <f>H243*K243</f>
      </c>
      <c r="AD243" s="15">
        <f>H243*M243</f>
      </c>
      <c r="AE243" s="13">
        <f>H243*L243/100</f>
      </c>
      <c r="AF243" s="13">
        <f>AA243+AB243+AE243</f>
      </c>
      <c r="AG243" s="13">
        <f>I243+J243+L243</f>
      </c>
      <c r="AH243" s="18">
        <f>$H243*I243</f>
      </c>
      <c r="AI243" s="18">
        <f>$H243*J243</f>
      </c>
      <c r="AJ243" s="18">
        <f>$H243*K243</f>
      </c>
      <c r="AK243" s="18">
        <f>$H243*L243</f>
      </c>
      <c r="AL243" s="18">
        <f>$H243*M243</f>
      </c>
      <c r="AM243" s="14"/>
      <c r="AN243" s="14"/>
      <c r="AO243" s="14"/>
    </row>
    <row x14ac:dyDescent="0.25" r="244" customHeight="1" ht="17.25">
      <c r="A244" s="2" t="s">
        <v>564</v>
      </c>
      <c r="B244" s="2" t="s">
        <v>429</v>
      </c>
      <c r="C244" s="2" t="s">
        <v>50</v>
      </c>
      <c r="D244" s="2"/>
      <c r="E244" s="2" t="s">
        <v>52</v>
      </c>
      <c r="F244" s="2" t="s">
        <v>565</v>
      </c>
      <c r="G244" s="2" t="s">
        <v>502</v>
      </c>
      <c r="H244" s="13">
        <v>1.5</v>
      </c>
      <c r="I244" s="13">
        <v>3.1</v>
      </c>
      <c r="J244" s="13">
        <v>6.4</v>
      </c>
      <c r="K244" s="14">
        <v>90</v>
      </c>
      <c r="L244" s="13">
        <v>0.1</v>
      </c>
      <c r="M244" s="14">
        <v>2</v>
      </c>
      <c r="N244" s="15"/>
      <c r="O244" s="16"/>
      <c r="P244" s="13"/>
      <c r="Q244" s="13"/>
      <c r="R244" s="17"/>
      <c r="S244" s="13"/>
      <c r="T244" s="17"/>
      <c r="U244" s="13"/>
      <c r="V244" s="16"/>
      <c r="W244" s="13"/>
      <c r="X244" s="13"/>
      <c r="Y244" s="14"/>
      <c r="Z244" s="2"/>
      <c r="AA244" s="13">
        <f>H244*I244/100</f>
      </c>
      <c r="AB244" s="13">
        <f>H244*J244/100</f>
      </c>
      <c r="AC244" s="15">
        <f>H244*K244</f>
      </c>
      <c r="AD244" s="15">
        <f>H244*M244</f>
      </c>
      <c r="AE244" s="13">
        <f>H244*L244/100</f>
      </c>
      <c r="AF244" s="13">
        <f>AA244+AB244+AE244</f>
      </c>
      <c r="AG244" s="13">
        <f>I244+J244+L244</f>
      </c>
      <c r="AH244" s="18">
        <f>$H244*I244</f>
      </c>
      <c r="AI244" s="18">
        <f>$H244*J244</f>
      </c>
      <c r="AJ244" s="18">
        <f>$H244*K244</f>
      </c>
      <c r="AK244" s="18">
        <f>$H244*L244</f>
      </c>
      <c r="AL244" s="18">
        <f>$H244*M244</f>
      </c>
      <c r="AM244" s="14"/>
      <c r="AN244" s="14"/>
      <c r="AO244" s="14"/>
    </row>
    <row x14ac:dyDescent="0.25" r="245" customHeight="1" ht="17.25">
      <c r="A245" s="2" t="s">
        <v>566</v>
      </c>
      <c r="B245" s="2" t="s">
        <v>429</v>
      </c>
      <c r="C245" s="2" t="s">
        <v>189</v>
      </c>
      <c r="D245" s="2"/>
      <c r="E245" s="12" t="s">
        <v>42</v>
      </c>
      <c r="F245" s="2" t="s">
        <v>43</v>
      </c>
      <c r="G245" s="2" t="s">
        <v>440</v>
      </c>
      <c r="H245" s="16">
        <v>0.070488</v>
      </c>
      <c r="I245" s="13">
        <v>2.1</v>
      </c>
      <c r="J245" s="13"/>
      <c r="K245" s="13">
        <v>342.8</v>
      </c>
      <c r="L245" s="13"/>
      <c r="M245" s="13"/>
      <c r="N245" s="15"/>
      <c r="O245" s="16"/>
      <c r="P245" s="13"/>
      <c r="Q245" s="13"/>
      <c r="R245" s="17"/>
      <c r="S245" s="13"/>
      <c r="T245" s="17"/>
      <c r="U245" s="13"/>
      <c r="V245" s="16"/>
      <c r="W245" s="13"/>
      <c r="X245" s="13"/>
      <c r="Y245" s="14"/>
      <c r="Z245" s="2"/>
      <c r="AA245" s="13">
        <f>H245*I245/100</f>
      </c>
      <c r="AB245" s="13">
        <f>H245*J245/100</f>
      </c>
      <c r="AC245" s="15">
        <f>H245*K245</f>
      </c>
      <c r="AD245" s="15">
        <f>H245*M245</f>
      </c>
      <c r="AE245" s="13">
        <f>H245*L245/100</f>
      </c>
      <c r="AF245" s="13">
        <f>AA245+AB245+AE245</f>
      </c>
      <c r="AG245" s="13">
        <f>I245+J245+L245</f>
      </c>
      <c r="AH245" s="18">
        <f>$H245*I245</f>
      </c>
      <c r="AI245" s="18">
        <f>$H245*J245</f>
      </c>
      <c r="AJ245" s="18">
        <f>$H245*K245</f>
      </c>
      <c r="AK245" s="18">
        <f>$H245*L245</f>
      </c>
      <c r="AL245" s="18">
        <f>$H245*M245</f>
      </c>
      <c r="AM245" s="14"/>
      <c r="AN245" s="14"/>
      <c r="AO245" s="14"/>
    </row>
    <row x14ac:dyDescent="0.25" r="246" customHeight="1" ht="17.25">
      <c r="A246" s="2" t="s">
        <v>567</v>
      </c>
      <c r="B246" s="2" t="s">
        <v>429</v>
      </c>
      <c r="C246" s="2" t="s">
        <v>40</v>
      </c>
      <c r="D246" s="2" t="s">
        <v>64</v>
      </c>
      <c r="E246" s="2" t="s">
        <v>52</v>
      </c>
      <c r="F246" s="2" t="s">
        <v>43</v>
      </c>
      <c r="G246" s="2" t="s">
        <v>502</v>
      </c>
      <c r="H246" s="13">
        <v>17.24</v>
      </c>
      <c r="I246" s="13">
        <v>4.85</v>
      </c>
      <c r="J246" s="13">
        <v>6.39</v>
      </c>
      <c r="K246" s="13">
        <v>71.6</v>
      </c>
      <c r="L246" s="13"/>
      <c r="M246" s="13">
        <v>0.75</v>
      </c>
      <c r="N246" s="15"/>
      <c r="O246" s="16"/>
      <c r="P246" s="13"/>
      <c r="Q246" s="13"/>
      <c r="R246" s="17"/>
      <c r="S246" s="13"/>
      <c r="T246" s="17"/>
      <c r="U246" s="13"/>
      <c r="V246" s="16"/>
      <c r="W246" s="13"/>
      <c r="X246" s="13"/>
      <c r="Y246" s="14"/>
      <c r="Z246" s="2"/>
      <c r="AA246" s="13">
        <f>H246*I246/100</f>
      </c>
      <c r="AB246" s="13">
        <f>H246*J246/100</f>
      </c>
      <c r="AC246" s="15">
        <f>H246*K246</f>
      </c>
      <c r="AD246" s="15">
        <f>H246*M246</f>
      </c>
      <c r="AE246" s="13">
        <f>H246*L246/100</f>
      </c>
      <c r="AF246" s="13">
        <f>AA246+AB246+AE246</f>
      </c>
      <c r="AG246" s="13">
        <f>I246+J246+L246</f>
      </c>
      <c r="AH246" s="18">
        <f>$H246*I246</f>
      </c>
      <c r="AI246" s="18">
        <f>$H246*J246</f>
      </c>
      <c r="AJ246" s="18">
        <f>$H246*K246</f>
      </c>
      <c r="AK246" s="18">
        <f>$H246*L246</f>
      </c>
      <c r="AL246" s="18">
        <f>$H246*M246</f>
      </c>
      <c r="AM246" s="14"/>
      <c r="AN246" s="14"/>
      <c r="AO246" s="14"/>
    </row>
    <row x14ac:dyDescent="0.25" r="247" customHeight="1" ht="17.25">
      <c r="A247" s="2" t="s">
        <v>568</v>
      </c>
      <c r="B247" s="2" t="s">
        <v>429</v>
      </c>
      <c r="C247" s="2" t="s">
        <v>189</v>
      </c>
      <c r="D247" s="2"/>
      <c r="E247" s="12" t="s">
        <v>42</v>
      </c>
      <c r="F247" s="2" t="s">
        <v>569</v>
      </c>
      <c r="G247" s="2" t="s">
        <v>502</v>
      </c>
      <c r="H247" s="16">
        <v>0.20095</v>
      </c>
      <c r="I247" s="13">
        <v>3.18</v>
      </c>
      <c r="J247" s="13">
        <v>4.01</v>
      </c>
      <c r="K247" s="13">
        <v>91.89</v>
      </c>
      <c r="L247" s="13"/>
      <c r="M247" s="13"/>
      <c r="N247" s="15"/>
      <c r="O247" s="16"/>
      <c r="P247" s="13"/>
      <c r="Q247" s="13"/>
      <c r="R247" s="17"/>
      <c r="S247" s="13"/>
      <c r="T247" s="17"/>
      <c r="U247" s="13"/>
      <c r="V247" s="16"/>
      <c r="W247" s="13"/>
      <c r="X247" s="13"/>
      <c r="Y247" s="14"/>
      <c r="Z247" s="2"/>
      <c r="AA247" s="13">
        <f>H247*I247/100</f>
      </c>
      <c r="AB247" s="13">
        <f>H247*J247/100</f>
      </c>
      <c r="AC247" s="15">
        <f>H247*K247</f>
      </c>
      <c r="AD247" s="15">
        <f>H247*M247</f>
      </c>
      <c r="AE247" s="13">
        <f>H247*L247/100</f>
      </c>
      <c r="AF247" s="13">
        <f>AA247+AB247+AE247</f>
      </c>
      <c r="AG247" s="13">
        <f>I247+J247+L247</f>
      </c>
      <c r="AH247" s="18">
        <f>$H247*I247</f>
      </c>
      <c r="AI247" s="18">
        <f>$H247*J247</f>
      </c>
      <c r="AJ247" s="18">
        <f>$H247*K247</f>
      </c>
      <c r="AK247" s="18">
        <f>$H247*L247</f>
      </c>
      <c r="AL247" s="18">
        <f>$H247*M247</f>
      </c>
      <c r="AM247" s="14"/>
      <c r="AN247" s="14"/>
      <c r="AO247" s="14"/>
    </row>
    <row x14ac:dyDescent="0.25" r="248" customHeight="1" ht="17.25">
      <c r="A248" s="2" t="s">
        <v>570</v>
      </c>
      <c r="B248" s="2" t="s">
        <v>429</v>
      </c>
      <c r="C248" s="2" t="s">
        <v>40</v>
      </c>
      <c r="D248" s="2" t="s">
        <v>64</v>
      </c>
      <c r="E248" s="2" t="s">
        <v>52</v>
      </c>
      <c r="F248" s="2" t="s">
        <v>43</v>
      </c>
      <c r="G248" s="2" t="s">
        <v>502</v>
      </c>
      <c r="H248" s="13">
        <f>1.589+17.06</f>
      </c>
      <c r="I248" s="13">
        <f>(3.56*1.589+2.6*17.06)/$H248</f>
      </c>
      <c r="J248" s="13">
        <f>(5.34*1.589+4.34*17.06)/$H248</f>
      </c>
      <c r="K248" s="17">
        <f>(58*1.589+44*17.06)/$H248</f>
      </c>
      <c r="L248" s="13"/>
      <c r="M248" s="13">
        <f>(0.83*1.589+0.74*17.06)/$H248</f>
      </c>
      <c r="N248" s="15"/>
      <c r="O248" s="16"/>
      <c r="P248" s="13"/>
      <c r="Q248" s="13"/>
      <c r="R248" s="17"/>
      <c r="S248" s="13"/>
      <c r="T248" s="17"/>
      <c r="U248" s="13"/>
      <c r="V248" s="16"/>
      <c r="W248" s="13"/>
      <c r="X248" s="13"/>
      <c r="Y248" s="14"/>
      <c r="Z248" s="2"/>
      <c r="AA248" s="13">
        <f>H248*I248/100</f>
      </c>
      <c r="AB248" s="13">
        <f>H248*J248/100</f>
      </c>
      <c r="AC248" s="15">
        <f>H248*K248</f>
      </c>
      <c r="AD248" s="15">
        <f>H248*M248</f>
      </c>
      <c r="AE248" s="13">
        <f>H248*L248/100</f>
      </c>
      <c r="AF248" s="13">
        <f>AA248+AB248+AE248</f>
      </c>
      <c r="AG248" s="13">
        <f>I248+J248+L248</f>
      </c>
      <c r="AH248" s="18">
        <f>$H248*I248</f>
      </c>
      <c r="AI248" s="18">
        <f>$H248*J248</f>
      </c>
      <c r="AJ248" s="18">
        <f>$H248*K248</f>
      </c>
      <c r="AK248" s="18">
        <f>$H248*L248</f>
      </c>
      <c r="AL248" s="18">
        <f>$H248*M248</f>
      </c>
      <c r="AM248" s="14"/>
      <c r="AN248" s="14"/>
      <c r="AO248" s="14"/>
    </row>
    <row x14ac:dyDescent="0.25" r="249" customHeight="1" ht="17.25">
      <c r="A249" s="2" t="s">
        <v>571</v>
      </c>
      <c r="B249" s="2" t="s">
        <v>429</v>
      </c>
      <c r="C249" s="2" t="s">
        <v>40</v>
      </c>
      <c r="D249" s="2" t="s">
        <v>64</v>
      </c>
      <c r="E249" s="12" t="s">
        <v>42</v>
      </c>
      <c r="F249" s="2" t="s">
        <v>43</v>
      </c>
      <c r="G249" s="2" t="s">
        <v>46</v>
      </c>
      <c r="H249" s="13">
        <v>6.45</v>
      </c>
      <c r="I249" s="13">
        <v>0.77</v>
      </c>
      <c r="J249" s="13">
        <v>4.1</v>
      </c>
      <c r="K249" s="13">
        <v>4.8</v>
      </c>
      <c r="L249" s="13"/>
      <c r="M249" s="13"/>
      <c r="N249" s="15"/>
      <c r="O249" s="16"/>
      <c r="P249" s="13"/>
      <c r="Q249" s="13"/>
      <c r="R249" s="17"/>
      <c r="S249" s="13"/>
      <c r="T249" s="17"/>
      <c r="U249" s="13"/>
      <c r="V249" s="16"/>
      <c r="W249" s="13"/>
      <c r="X249" s="13"/>
      <c r="Y249" s="14"/>
      <c r="Z249" s="2"/>
      <c r="AA249" s="13">
        <f>H249*I249/100</f>
      </c>
      <c r="AB249" s="13">
        <f>H249*J249/100</f>
      </c>
      <c r="AC249" s="15">
        <f>H249*K249</f>
      </c>
      <c r="AD249" s="15">
        <f>H249*M249</f>
      </c>
      <c r="AE249" s="13">
        <f>H249*L249/100</f>
      </c>
      <c r="AF249" s="13">
        <f>AA249+AB249+AE249</f>
      </c>
      <c r="AG249" s="13">
        <f>I249+J249+L249</f>
      </c>
      <c r="AH249" s="18">
        <f>$H249*I249</f>
      </c>
      <c r="AI249" s="18">
        <f>$H249*J249</f>
      </c>
      <c r="AJ249" s="18">
        <f>$H249*K249</f>
      </c>
      <c r="AK249" s="18">
        <f>$H249*L249</f>
      </c>
      <c r="AL249" s="18">
        <f>$H249*M249</f>
      </c>
      <c r="AM249" s="14"/>
      <c r="AN249" s="14"/>
      <c r="AO249" s="14"/>
    </row>
    <row x14ac:dyDescent="0.25" r="250" customHeight="1" ht="17.25">
      <c r="A250" s="2" t="s">
        <v>572</v>
      </c>
      <c r="B250" s="2" t="s">
        <v>429</v>
      </c>
      <c r="C250" s="2" t="s">
        <v>50</v>
      </c>
      <c r="D250" s="2"/>
      <c r="E250" s="2" t="s">
        <v>52</v>
      </c>
      <c r="F250" s="2" t="s">
        <v>65</v>
      </c>
      <c r="G250" s="2" t="s">
        <v>66</v>
      </c>
      <c r="H250" s="14">
        <f>27+60</f>
      </c>
      <c r="I250" s="15">
        <f>(0.6*27+0.5*60)/$H250</f>
      </c>
      <c r="J250" s="15">
        <f>(4.5*27+3.5*60)/$H250</f>
      </c>
      <c r="K250" s="17">
        <f>(130*27+150*60)/$H250</f>
      </c>
      <c r="L250" s="15">
        <f>(0.5*27+0.4*60)/$H250</f>
      </c>
      <c r="M250" s="15">
        <f>(0.3*27+0.2*60)/$H250</f>
      </c>
      <c r="N250" s="15"/>
      <c r="O250" s="16"/>
      <c r="P250" s="13"/>
      <c r="Q250" s="13"/>
      <c r="R250" s="17"/>
      <c r="S250" s="13"/>
      <c r="T250" s="17"/>
      <c r="U250" s="13"/>
      <c r="V250" s="16"/>
      <c r="W250" s="13"/>
      <c r="X250" s="13"/>
      <c r="Y250" s="14"/>
      <c r="Z250" s="2"/>
      <c r="AA250" s="13">
        <f>H250*I250/100</f>
      </c>
      <c r="AB250" s="13">
        <f>H250*J250/100</f>
      </c>
      <c r="AC250" s="15">
        <f>H250*K250</f>
      </c>
      <c r="AD250" s="15">
        <f>H250*M250</f>
      </c>
      <c r="AE250" s="13">
        <f>H250*L250/100</f>
      </c>
      <c r="AF250" s="13">
        <f>AA250+AB250+AE250</f>
      </c>
      <c r="AG250" s="13">
        <f>I250+J250+L250</f>
      </c>
      <c r="AH250" s="18">
        <f>$H250*I250</f>
      </c>
      <c r="AI250" s="18">
        <f>$H250*J250</f>
      </c>
      <c r="AJ250" s="18">
        <f>$H250*K250</f>
      </c>
      <c r="AK250" s="18">
        <f>$H250*L250</f>
      </c>
      <c r="AL250" s="18">
        <f>$H250*M250</f>
      </c>
      <c r="AM250" s="14"/>
      <c r="AN250" s="14"/>
      <c r="AO250" s="14"/>
    </row>
    <row x14ac:dyDescent="0.25" r="251" customHeight="1" ht="17.25">
      <c r="A251" s="2" t="s">
        <v>573</v>
      </c>
      <c r="B251" s="2" t="s">
        <v>429</v>
      </c>
      <c r="C251" s="2" t="s">
        <v>50</v>
      </c>
      <c r="D251" s="2"/>
      <c r="E251" s="2" t="s">
        <v>52</v>
      </c>
      <c r="F251" s="2" t="s">
        <v>489</v>
      </c>
      <c r="G251" s="2" t="s">
        <v>574</v>
      </c>
      <c r="H251" s="16">
        <f>6.2621+6.0782</f>
      </c>
      <c r="I251" s="13">
        <f>(2.58*6.2621+1.83*6.0782)/$H251</f>
      </c>
      <c r="J251" s="13">
        <f>(8.13*6.2621+6.69*6.0782)/$H251</f>
      </c>
      <c r="K251" s="15">
        <f>(30.78*6.2621+20.51*6.0782)/$H251</f>
      </c>
      <c r="L251" s="13">
        <f>(0.22*6.2621+0.14*6.0782)/$H251</f>
      </c>
      <c r="M251" s="13"/>
      <c r="N251" s="15"/>
      <c r="O251" s="16"/>
      <c r="P251" s="13"/>
      <c r="Q251" s="13"/>
      <c r="R251" s="17"/>
      <c r="S251" s="13"/>
      <c r="T251" s="17"/>
      <c r="U251" s="13"/>
      <c r="V251" s="16"/>
      <c r="W251" s="13"/>
      <c r="X251" s="13"/>
      <c r="Y251" s="14"/>
      <c r="Z251" s="2"/>
      <c r="AA251" s="13">
        <f>H251*I251/100</f>
      </c>
      <c r="AB251" s="13">
        <f>H251*J251/100</f>
      </c>
      <c r="AC251" s="15">
        <f>H251*K251</f>
      </c>
      <c r="AD251" s="15">
        <f>H251*M251</f>
      </c>
      <c r="AE251" s="13">
        <f>H251*L251/100</f>
      </c>
      <c r="AF251" s="13">
        <f>AA251+AB251+AE251</f>
      </c>
      <c r="AG251" s="13">
        <f>I251+J251+L251</f>
      </c>
      <c r="AH251" s="18">
        <f>$H251*I251</f>
      </c>
      <c r="AI251" s="18">
        <f>$H251*J251</f>
      </c>
      <c r="AJ251" s="18">
        <f>$H251*K251</f>
      </c>
      <c r="AK251" s="18">
        <f>$H251*L251</f>
      </c>
      <c r="AL251" s="18">
        <f>$H251*M251</f>
      </c>
      <c r="AM251" s="14"/>
      <c r="AN251" s="14"/>
      <c r="AO251" s="14"/>
    </row>
    <row x14ac:dyDescent="0.25" r="252" customHeight="1" ht="17.25">
      <c r="A252" s="2" t="s">
        <v>575</v>
      </c>
      <c r="B252" s="2" t="s">
        <v>429</v>
      </c>
      <c r="C252" s="2" t="s">
        <v>50</v>
      </c>
      <c r="D252" s="2"/>
      <c r="E252" s="12" t="s">
        <v>42</v>
      </c>
      <c r="F252" s="2" t="s">
        <v>43</v>
      </c>
      <c r="G252" s="2" t="s">
        <v>502</v>
      </c>
      <c r="H252" s="16">
        <v>0.523849</v>
      </c>
      <c r="I252" s="13">
        <v>0.87</v>
      </c>
      <c r="J252" s="13">
        <v>3.65</v>
      </c>
      <c r="K252" s="13">
        <v>49.7</v>
      </c>
      <c r="L252" s="13">
        <v>1.45</v>
      </c>
      <c r="M252" s="13">
        <v>1.41</v>
      </c>
      <c r="N252" s="15"/>
      <c r="O252" s="16"/>
      <c r="P252" s="13"/>
      <c r="Q252" s="13"/>
      <c r="R252" s="17"/>
      <c r="S252" s="13"/>
      <c r="T252" s="17"/>
      <c r="U252" s="13"/>
      <c r="V252" s="16"/>
      <c r="W252" s="13"/>
      <c r="X252" s="13"/>
      <c r="Y252" s="14"/>
      <c r="Z252" s="2"/>
      <c r="AA252" s="13">
        <f>H252*I252/100</f>
      </c>
      <c r="AB252" s="13">
        <f>H252*J252/100</f>
      </c>
      <c r="AC252" s="15">
        <f>H252*K252</f>
      </c>
      <c r="AD252" s="15">
        <f>H252*M252</f>
      </c>
      <c r="AE252" s="13">
        <f>H252*L252/100</f>
      </c>
      <c r="AF252" s="13">
        <f>AA252+AB252+AE252</f>
      </c>
      <c r="AG252" s="13">
        <f>I252+J252+L252</f>
      </c>
      <c r="AH252" s="18">
        <f>$H252*I252</f>
      </c>
      <c r="AI252" s="18">
        <f>$H252*J252</f>
      </c>
      <c r="AJ252" s="18">
        <f>$H252*K252</f>
      </c>
      <c r="AK252" s="18">
        <f>$H252*L252</f>
      </c>
      <c r="AL252" s="18">
        <f>$H252*M252</f>
      </c>
      <c r="AM252" s="14"/>
      <c r="AN252" s="14"/>
      <c r="AO252" s="14"/>
    </row>
    <row x14ac:dyDescent="0.25" r="253" customHeight="1" ht="17.25">
      <c r="A253" s="2" t="s">
        <v>576</v>
      </c>
      <c r="B253" s="2" t="s">
        <v>429</v>
      </c>
      <c r="C253" s="2" t="s">
        <v>50</v>
      </c>
      <c r="D253" s="2"/>
      <c r="E253" s="2" t="s">
        <v>52</v>
      </c>
      <c r="F253" s="2" t="s">
        <v>154</v>
      </c>
      <c r="G253" s="2" t="s">
        <v>58</v>
      </c>
      <c r="H253" s="13">
        <f>7.9+6</f>
      </c>
      <c r="I253" s="15">
        <f>(0.3*7.9+0.4*6)/$H253</f>
      </c>
      <c r="J253" s="15">
        <f>(3.5*7.9+4.3*6)/$H253</f>
      </c>
      <c r="K253" s="17">
        <f>(83*7.9+84*6)/$H253</f>
      </c>
      <c r="L253" s="15">
        <f>(3*7.9+1.8*6)/$H253</f>
      </c>
      <c r="M253" s="15">
        <f>(1.3*7.9+1.3*6)/$H253</f>
      </c>
      <c r="N253" s="15"/>
      <c r="O253" s="16"/>
      <c r="P253" s="13"/>
      <c r="Q253" s="13"/>
      <c r="R253" s="17"/>
      <c r="S253" s="13"/>
      <c r="T253" s="17"/>
      <c r="U253" s="13"/>
      <c r="V253" s="16"/>
      <c r="W253" s="13"/>
      <c r="X253" s="13"/>
      <c r="Y253" s="14"/>
      <c r="Z253" s="2"/>
      <c r="AA253" s="13">
        <f>H253*I253/100</f>
      </c>
      <c r="AB253" s="13">
        <f>H253*J253/100</f>
      </c>
      <c r="AC253" s="15">
        <f>H253*K253</f>
      </c>
      <c r="AD253" s="15">
        <f>H253*M253</f>
      </c>
      <c r="AE253" s="13">
        <f>H253*L253/100</f>
      </c>
      <c r="AF253" s="13">
        <f>AA253+AB253+AE253</f>
      </c>
      <c r="AG253" s="13">
        <f>I253+J253+L253</f>
      </c>
      <c r="AH253" s="18">
        <f>$H253*I253</f>
      </c>
      <c r="AI253" s="18">
        <f>$H253*J253</f>
      </c>
      <c r="AJ253" s="18">
        <f>$H253*K253</f>
      </c>
      <c r="AK253" s="18">
        <f>$H253*L253</f>
      </c>
      <c r="AL253" s="18">
        <f>$H253*M253</f>
      </c>
      <c r="AM253" s="14"/>
      <c r="AN253" s="14"/>
      <c r="AO253" s="14"/>
    </row>
    <row x14ac:dyDescent="0.25" r="254" customHeight="1" ht="17.25">
      <c r="A254" s="2" t="s">
        <v>577</v>
      </c>
      <c r="B254" s="2" t="s">
        <v>429</v>
      </c>
      <c r="C254" s="2" t="s">
        <v>189</v>
      </c>
      <c r="D254" s="2"/>
      <c r="E254" s="12" t="s">
        <v>42</v>
      </c>
      <c r="F254" s="2" t="s">
        <v>43</v>
      </c>
      <c r="G254" s="2" t="s">
        <v>440</v>
      </c>
      <c r="H254" s="16">
        <v>0.036287</v>
      </c>
      <c r="I254" s="13">
        <v>14.95</v>
      </c>
      <c r="J254" s="13">
        <v>20.78</v>
      </c>
      <c r="K254" s="13">
        <v>427.2</v>
      </c>
      <c r="L254" s="13"/>
      <c r="M254" s="13"/>
      <c r="N254" s="15"/>
      <c r="O254" s="16"/>
      <c r="P254" s="13"/>
      <c r="Q254" s="13"/>
      <c r="R254" s="17"/>
      <c r="S254" s="13"/>
      <c r="T254" s="17"/>
      <c r="U254" s="13"/>
      <c r="V254" s="16"/>
      <c r="W254" s="13"/>
      <c r="X254" s="13"/>
      <c r="Y254" s="14"/>
      <c r="Z254" s="2"/>
      <c r="AA254" s="13">
        <f>H254*I254/100</f>
      </c>
      <c r="AB254" s="13">
        <f>H254*J254/100</f>
      </c>
      <c r="AC254" s="15">
        <f>H254*K254</f>
      </c>
      <c r="AD254" s="15">
        <f>H254*M254</f>
      </c>
      <c r="AE254" s="13">
        <f>H254*L254/100</f>
      </c>
      <c r="AF254" s="13">
        <f>AA254+AB254+AE254</f>
      </c>
      <c r="AG254" s="13">
        <f>I254+J254+L254</f>
      </c>
      <c r="AH254" s="18">
        <f>$H254*I254</f>
      </c>
      <c r="AI254" s="18">
        <f>$H254*J254</f>
      </c>
      <c r="AJ254" s="18">
        <f>$H254*K254</f>
      </c>
      <c r="AK254" s="18">
        <f>$H254*L254</f>
      </c>
      <c r="AL254" s="18">
        <f>$H254*M254</f>
      </c>
      <c r="AM254" s="14"/>
      <c r="AN254" s="14"/>
      <c r="AO254" s="14"/>
    </row>
    <row x14ac:dyDescent="0.25" r="255" customHeight="1" ht="17.25">
      <c r="A255" s="2" t="s">
        <v>578</v>
      </c>
      <c r="B255" s="2" t="s">
        <v>429</v>
      </c>
      <c r="C255" s="2" t="s">
        <v>50</v>
      </c>
      <c r="D255" s="2"/>
      <c r="E255" s="12" t="s">
        <v>42</v>
      </c>
      <c r="F255" s="2" t="s">
        <v>43</v>
      </c>
      <c r="G255" s="2" t="s">
        <v>440</v>
      </c>
      <c r="H255" s="16">
        <v>0.249906</v>
      </c>
      <c r="I255" s="13">
        <v>1.24</v>
      </c>
      <c r="J255" s="13">
        <v>2.19</v>
      </c>
      <c r="K255" s="13">
        <v>226.6</v>
      </c>
      <c r="L255" s="13">
        <v>0.28</v>
      </c>
      <c r="M255" s="13">
        <v>0.58</v>
      </c>
      <c r="N255" s="15"/>
      <c r="O255" s="16"/>
      <c r="P255" s="13"/>
      <c r="Q255" s="13"/>
      <c r="R255" s="17"/>
      <c r="S255" s="13"/>
      <c r="T255" s="17"/>
      <c r="U255" s="13"/>
      <c r="V255" s="16"/>
      <c r="W255" s="13"/>
      <c r="X255" s="13"/>
      <c r="Y255" s="14"/>
      <c r="Z255" s="2"/>
      <c r="AA255" s="13">
        <f>H255*I255/100</f>
      </c>
      <c r="AB255" s="13">
        <f>H255*J255/100</f>
      </c>
      <c r="AC255" s="15">
        <f>H255*K255</f>
      </c>
      <c r="AD255" s="15">
        <f>H255*M255</f>
      </c>
      <c r="AE255" s="13">
        <f>H255*L255/100</f>
      </c>
      <c r="AF255" s="13">
        <f>AA255+AB255+AE255</f>
      </c>
      <c r="AG255" s="13">
        <f>I255+J255+L255</f>
      </c>
      <c r="AH255" s="18">
        <f>$H255*I255</f>
      </c>
      <c r="AI255" s="18">
        <f>$H255*J255</f>
      </c>
      <c r="AJ255" s="18">
        <f>$H255*K255</f>
      </c>
      <c r="AK255" s="18">
        <f>$H255*L255</f>
      </c>
      <c r="AL255" s="18">
        <f>$H255*M255</f>
      </c>
      <c r="AM255" s="14"/>
      <c r="AN255" s="14"/>
      <c r="AO255" s="14"/>
    </row>
    <row x14ac:dyDescent="0.25" r="256" customHeight="1" ht="17.25">
      <c r="A256" s="2" t="s">
        <v>579</v>
      </c>
      <c r="B256" s="2" t="s">
        <v>429</v>
      </c>
      <c r="C256" s="2" t="s">
        <v>50</v>
      </c>
      <c r="D256" s="2"/>
      <c r="E256" s="2" t="s">
        <v>52</v>
      </c>
      <c r="F256" s="2" t="s">
        <v>580</v>
      </c>
      <c r="G256" s="2" t="s">
        <v>581</v>
      </c>
      <c r="H256" s="16">
        <v>67.6178</v>
      </c>
      <c r="I256" s="13"/>
      <c r="J256" s="13">
        <v>0.72</v>
      </c>
      <c r="K256" s="14"/>
      <c r="L256" s="13">
        <v>0.17</v>
      </c>
      <c r="M256" s="13">
        <v>1.82</v>
      </c>
      <c r="N256" s="15"/>
      <c r="O256" s="16"/>
      <c r="P256" s="13"/>
      <c r="Q256" s="13"/>
      <c r="R256" s="17"/>
      <c r="S256" s="13"/>
      <c r="T256" s="17"/>
      <c r="U256" s="13"/>
      <c r="V256" s="16"/>
      <c r="W256" s="13"/>
      <c r="X256" s="13"/>
      <c r="Y256" s="14"/>
      <c r="Z256" s="2"/>
      <c r="AA256" s="13">
        <f>H256*I256/100</f>
      </c>
      <c r="AB256" s="13">
        <f>H256*J256/100</f>
      </c>
      <c r="AC256" s="15">
        <f>H256*K256</f>
      </c>
      <c r="AD256" s="15">
        <f>H256*M256</f>
      </c>
      <c r="AE256" s="13">
        <f>H256*L256/100</f>
      </c>
      <c r="AF256" s="13">
        <f>AA256+AB256+AE256</f>
      </c>
      <c r="AG256" s="13">
        <f>I256+J256+L256</f>
      </c>
      <c r="AH256" s="18">
        <f>$H256*I256</f>
      </c>
      <c r="AI256" s="18">
        <f>$H256*J256</f>
      </c>
      <c r="AJ256" s="18">
        <f>$H256*K256</f>
      </c>
      <c r="AK256" s="18">
        <f>$H256*L256</f>
      </c>
      <c r="AL256" s="18">
        <f>$H256*M256</f>
      </c>
      <c r="AM256" s="14"/>
      <c r="AN256" s="14"/>
      <c r="AO256" s="14"/>
    </row>
    <row x14ac:dyDescent="0.25" r="257" customHeight="1" ht="17.25">
      <c r="A257" s="2" t="s">
        <v>582</v>
      </c>
      <c r="B257" s="2" t="s">
        <v>429</v>
      </c>
      <c r="C257" s="2" t="s">
        <v>40</v>
      </c>
      <c r="D257" s="2" t="s">
        <v>64</v>
      </c>
      <c r="E257" s="2" t="s">
        <v>52</v>
      </c>
      <c r="F257" s="2" t="s">
        <v>583</v>
      </c>
      <c r="G257" s="2" t="s">
        <v>584</v>
      </c>
      <c r="H257" s="13">
        <f>16.92+16.05+17.98+40.12+6.88</f>
      </c>
      <c r="I257" s="13">
        <f>(1.2*16.92+1.08*16.05+1.51*17.98+1.48*40.12+1.25*6.88)/$H257</f>
      </c>
      <c r="J257" s="13">
        <f>(4.15*16.92+4.04*16.05+4.52*17.98+4.63*40.12+4.3*6.88)/$H257</f>
      </c>
      <c r="K257" s="14"/>
      <c r="L257" s="13"/>
      <c r="M257" s="13"/>
      <c r="N257" s="15"/>
      <c r="O257" s="16"/>
      <c r="P257" s="13"/>
      <c r="Q257" s="13"/>
      <c r="R257" s="17"/>
      <c r="S257" s="13"/>
      <c r="T257" s="17"/>
      <c r="U257" s="13"/>
      <c r="V257" s="16"/>
      <c r="W257" s="13"/>
      <c r="X257" s="13"/>
      <c r="Y257" s="14"/>
      <c r="Z257" s="2"/>
      <c r="AA257" s="13">
        <f>H257*I257/100</f>
      </c>
      <c r="AB257" s="13">
        <f>H257*J257/100</f>
      </c>
      <c r="AC257" s="15">
        <f>H257*K257</f>
      </c>
      <c r="AD257" s="15">
        <f>H257*M257</f>
      </c>
      <c r="AE257" s="13">
        <f>H257*L257/100</f>
      </c>
      <c r="AF257" s="13">
        <f>AA257+AB257+AE257</f>
      </c>
      <c r="AG257" s="13">
        <f>I257+J257+L257</f>
      </c>
      <c r="AH257" s="18">
        <f>$H257*I257</f>
      </c>
      <c r="AI257" s="18">
        <f>$H257*J257</f>
      </c>
      <c r="AJ257" s="18">
        <f>$H257*K257</f>
      </c>
      <c r="AK257" s="18">
        <f>$H257*L257</f>
      </c>
      <c r="AL257" s="18">
        <f>$H257*M257</f>
      </c>
      <c r="AM257" s="14"/>
      <c r="AN257" s="14"/>
      <c r="AO257" s="14"/>
    </row>
    <row x14ac:dyDescent="0.25" r="258" customHeight="1" ht="17.25">
      <c r="A258" s="2" t="s">
        <v>585</v>
      </c>
      <c r="B258" s="2" t="s">
        <v>429</v>
      </c>
      <c r="C258" s="2" t="s">
        <v>40</v>
      </c>
      <c r="D258" s="2" t="s">
        <v>64</v>
      </c>
      <c r="E258" s="2" t="s">
        <v>52</v>
      </c>
      <c r="F258" s="2" t="s">
        <v>583</v>
      </c>
      <c r="G258" s="2" t="s">
        <v>584</v>
      </c>
      <c r="H258" s="13">
        <v>12.1</v>
      </c>
      <c r="I258" s="13">
        <v>1.16</v>
      </c>
      <c r="J258" s="13">
        <v>4.31</v>
      </c>
      <c r="K258" s="14"/>
      <c r="L258" s="13"/>
      <c r="M258" s="13"/>
      <c r="N258" s="15"/>
      <c r="O258" s="16"/>
      <c r="P258" s="13"/>
      <c r="Q258" s="13"/>
      <c r="R258" s="17"/>
      <c r="S258" s="13"/>
      <c r="T258" s="17"/>
      <c r="U258" s="13"/>
      <c r="V258" s="16"/>
      <c r="W258" s="13"/>
      <c r="X258" s="13"/>
      <c r="Y258" s="14"/>
      <c r="Z258" s="2"/>
      <c r="AA258" s="13">
        <f>H258*I258/100</f>
      </c>
      <c r="AB258" s="13">
        <f>H258*J258/100</f>
      </c>
      <c r="AC258" s="15">
        <f>H258*K258</f>
      </c>
      <c r="AD258" s="15">
        <f>H258*M258</f>
      </c>
      <c r="AE258" s="13">
        <f>H258*L258/100</f>
      </c>
      <c r="AF258" s="13">
        <f>AA258+AB258+AE258</f>
      </c>
      <c r="AG258" s="13">
        <f>I258+J258+L258</f>
      </c>
      <c r="AH258" s="18">
        <f>$H258*I258</f>
      </c>
      <c r="AI258" s="18">
        <f>$H258*J258</f>
      </c>
      <c r="AJ258" s="18">
        <f>$H258*K258</f>
      </c>
      <c r="AK258" s="18">
        <f>$H258*L258</f>
      </c>
      <c r="AL258" s="18">
        <f>$H258*M258</f>
      </c>
      <c r="AM258" s="14"/>
      <c r="AN258" s="14"/>
      <c r="AO258" s="14"/>
    </row>
    <row x14ac:dyDescent="0.25" r="259" customHeight="1" ht="17.25">
      <c r="A259" s="2" t="s">
        <v>586</v>
      </c>
      <c r="B259" s="2" t="s">
        <v>429</v>
      </c>
      <c r="C259" s="2" t="s">
        <v>40</v>
      </c>
      <c r="D259" s="2" t="s">
        <v>64</v>
      </c>
      <c r="E259" s="2" t="s">
        <v>52</v>
      </c>
      <c r="F259" s="2" t="s">
        <v>583</v>
      </c>
      <c r="G259" s="2" t="s">
        <v>584</v>
      </c>
      <c r="H259" s="16">
        <f>35.49+41.77+38.1527+14.749</f>
      </c>
      <c r="I259" s="13">
        <f>(1.63*35.49+1.59*41.77+1.88*38.1527+1.59*14.749)/$H259</f>
      </c>
      <c r="J259" s="13">
        <f>(5.37*35.49+5.22*41.77+5.34*38.1527+5.13*14.749)/$H259</f>
      </c>
      <c r="K259" s="14"/>
      <c r="L259" s="13"/>
      <c r="M259" s="13"/>
      <c r="N259" s="15"/>
      <c r="O259" s="16"/>
      <c r="P259" s="13"/>
      <c r="Q259" s="13"/>
      <c r="R259" s="17"/>
      <c r="S259" s="13"/>
      <c r="T259" s="17"/>
      <c r="U259" s="13"/>
      <c r="V259" s="16"/>
      <c r="W259" s="13"/>
      <c r="X259" s="13"/>
      <c r="Y259" s="14"/>
      <c r="Z259" s="2"/>
      <c r="AA259" s="13">
        <f>H259*I259/100</f>
      </c>
      <c r="AB259" s="13">
        <f>H259*J259/100</f>
      </c>
      <c r="AC259" s="15">
        <f>H259*K259</f>
      </c>
      <c r="AD259" s="15">
        <f>H259*M259</f>
      </c>
      <c r="AE259" s="13">
        <f>H259*L259/100</f>
      </c>
      <c r="AF259" s="13">
        <f>AA259+AB259+AE259</f>
      </c>
      <c r="AG259" s="13">
        <f>I259+J259+L259</f>
      </c>
      <c r="AH259" s="18">
        <f>$H259*I259</f>
      </c>
      <c r="AI259" s="18">
        <f>$H259*J259</f>
      </c>
      <c r="AJ259" s="18">
        <f>$H259*K259</f>
      </c>
      <c r="AK259" s="18">
        <f>$H259*L259</f>
      </c>
      <c r="AL259" s="18">
        <f>$H259*M259</f>
      </c>
      <c r="AM259" s="14"/>
      <c r="AN259" s="14"/>
      <c r="AO259" s="14"/>
    </row>
    <row x14ac:dyDescent="0.25" r="260" customHeight="1" ht="17.25">
      <c r="A260" s="2" t="s">
        <v>587</v>
      </c>
      <c r="B260" s="2" t="s">
        <v>429</v>
      </c>
      <c r="C260" s="2" t="s">
        <v>40</v>
      </c>
      <c r="D260" s="2" t="s">
        <v>64</v>
      </c>
      <c r="E260" s="2" t="s">
        <v>52</v>
      </c>
      <c r="F260" s="2" t="s">
        <v>583</v>
      </c>
      <c r="G260" s="2" t="s">
        <v>584</v>
      </c>
      <c r="H260" s="13">
        <f>8.6+19.37+19.68+10.22</f>
      </c>
      <c r="I260" s="13">
        <f>(1.04*8.6+1.09*19.37+1.56*19.68+1.5*10.22)/$H260</f>
      </c>
      <c r="J260" s="13">
        <f>(4.01*8.6+3.83*19.37+5.46*19.68+5.42*10.22)/$H260</f>
      </c>
      <c r="K260" s="14"/>
      <c r="L260" s="13"/>
      <c r="M260" s="13"/>
      <c r="N260" s="15"/>
      <c r="O260" s="16"/>
      <c r="P260" s="13"/>
      <c r="Q260" s="13"/>
      <c r="R260" s="17"/>
      <c r="S260" s="13"/>
      <c r="T260" s="17"/>
      <c r="U260" s="13"/>
      <c r="V260" s="16"/>
      <c r="W260" s="13"/>
      <c r="X260" s="13"/>
      <c r="Y260" s="14"/>
      <c r="Z260" s="2"/>
      <c r="AA260" s="13">
        <f>H260*I260/100</f>
      </c>
      <c r="AB260" s="13">
        <f>H260*J260/100</f>
      </c>
      <c r="AC260" s="15">
        <f>H260*K260</f>
      </c>
      <c r="AD260" s="15">
        <f>H260*M260</f>
      </c>
      <c r="AE260" s="13">
        <f>H260*L260/100</f>
      </c>
      <c r="AF260" s="13">
        <f>AA260+AB260+AE260</f>
      </c>
      <c r="AG260" s="13">
        <f>I260+J260+L260</f>
      </c>
      <c r="AH260" s="18">
        <f>$H260*I260</f>
      </c>
      <c r="AI260" s="18">
        <f>$H260*J260</f>
      </c>
      <c r="AJ260" s="18">
        <f>$H260*K260</f>
      </c>
      <c r="AK260" s="18">
        <f>$H260*L260</f>
      </c>
      <c r="AL260" s="18">
        <f>$H260*M260</f>
      </c>
      <c r="AM260" s="14"/>
      <c r="AN260" s="14"/>
      <c r="AO260" s="14"/>
    </row>
    <row x14ac:dyDescent="0.25" r="261" customHeight="1" ht="17.25">
      <c r="A261" s="2" t="s">
        <v>588</v>
      </c>
      <c r="B261" s="2" t="s">
        <v>429</v>
      </c>
      <c r="C261" s="2" t="s">
        <v>40</v>
      </c>
      <c r="D261" s="2" t="s">
        <v>64</v>
      </c>
      <c r="E261" s="2" t="s">
        <v>52</v>
      </c>
      <c r="F261" s="2" t="s">
        <v>583</v>
      </c>
      <c r="G261" s="2" t="s">
        <v>584</v>
      </c>
      <c r="H261" s="13">
        <v>6.18</v>
      </c>
      <c r="I261" s="13">
        <v>1.23</v>
      </c>
      <c r="J261" s="13">
        <v>4.55</v>
      </c>
      <c r="K261" s="14"/>
      <c r="L261" s="13"/>
      <c r="M261" s="13"/>
      <c r="N261" s="15"/>
      <c r="O261" s="16"/>
      <c r="P261" s="13"/>
      <c r="Q261" s="13"/>
      <c r="R261" s="17"/>
      <c r="S261" s="13"/>
      <c r="T261" s="17"/>
      <c r="U261" s="13"/>
      <c r="V261" s="16"/>
      <c r="W261" s="13"/>
      <c r="X261" s="13"/>
      <c r="Y261" s="14"/>
      <c r="Z261" s="2"/>
      <c r="AA261" s="13">
        <f>H261*I261/100</f>
      </c>
      <c r="AB261" s="13">
        <f>H261*J261/100</f>
      </c>
      <c r="AC261" s="15">
        <f>H261*K261</f>
      </c>
      <c r="AD261" s="15">
        <f>H261*M261</f>
      </c>
      <c r="AE261" s="13">
        <f>H261*L261/100</f>
      </c>
      <c r="AF261" s="13">
        <f>AA261+AB261+AE261</f>
      </c>
      <c r="AG261" s="13">
        <f>I261+J261+L261</f>
      </c>
      <c r="AH261" s="18">
        <f>$H261*I261</f>
      </c>
      <c r="AI261" s="18">
        <f>$H261*J261</f>
      </c>
      <c r="AJ261" s="18">
        <f>$H261*K261</f>
      </c>
      <c r="AK261" s="18">
        <f>$H261*L261</f>
      </c>
      <c r="AL261" s="18">
        <f>$H261*M261</f>
      </c>
      <c r="AM261" s="14"/>
      <c r="AN261" s="14"/>
      <c r="AO261" s="14"/>
    </row>
    <row x14ac:dyDescent="0.25" r="262" customHeight="1" ht="17.25">
      <c r="A262" s="2" t="s">
        <v>589</v>
      </c>
      <c r="B262" s="2" t="s">
        <v>429</v>
      </c>
      <c r="C262" s="2" t="s">
        <v>40</v>
      </c>
      <c r="D262" s="2" t="s">
        <v>64</v>
      </c>
      <c r="E262" s="2" t="s">
        <v>52</v>
      </c>
      <c r="F262" s="2" t="s">
        <v>583</v>
      </c>
      <c r="G262" s="2" t="s">
        <v>584</v>
      </c>
      <c r="H262" s="13">
        <f>1.77+1.38</f>
      </c>
      <c r="I262" s="13">
        <f>(1.29*1.77+0.86*1.38)/$H262</f>
      </c>
      <c r="J262" s="13">
        <f>(4.18*1.77+2.67*1.38)/$H262</f>
      </c>
      <c r="K262" s="14"/>
      <c r="L262" s="13"/>
      <c r="M262" s="13"/>
      <c r="N262" s="15"/>
      <c r="O262" s="16"/>
      <c r="P262" s="13"/>
      <c r="Q262" s="13"/>
      <c r="R262" s="17"/>
      <c r="S262" s="13"/>
      <c r="T262" s="17"/>
      <c r="U262" s="13"/>
      <c r="V262" s="16"/>
      <c r="W262" s="13"/>
      <c r="X262" s="13"/>
      <c r="Y262" s="14"/>
      <c r="Z262" s="2"/>
      <c r="AA262" s="13">
        <f>H262*I262/100</f>
      </c>
      <c r="AB262" s="13">
        <f>H262*J262/100</f>
      </c>
      <c r="AC262" s="15">
        <f>H262*K262</f>
      </c>
      <c r="AD262" s="15">
        <f>H262*M262</f>
      </c>
      <c r="AE262" s="13">
        <f>H262*L262/100</f>
      </c>
      <c r="AF262" s="13">
        <f>AA262+AB262+AE262</f>
      </c>
      <c r="AG262" s="13">
        <f>I262+J262+L262</f>
      </c>
      <c r="AH262" s="18">
        <f>$H262*I262</f>
      </c>
      <c r="AI262" s="18">
        <f>$H262*J262</f>
      </c>
      <c r="AJ262" s="18">
        <f>$H262*K262</f>
      </c>
      <c r="AK262" s="18">
        <f>$H262*L262</f>
      </c>
      <c r="AL262" s="18">
        <f>$H262*M262</f>
      </c>
      <c r="AM262" s="14"/>
      <c r="AN262" s="14"/>
      <c r="AO262" s="14"/>
    </row>
    <row x14ac:dyDescent="0.25" r="263" customHeight="1" ht="17.25">
      <c r="A263" s="2" t="s">
        <v>590</v>
      </c>
      <c r="B263" s="2" t="s">
        <v>429</v>
      </c>
      <c r="C263" s="2" t="s">
        <v>40</v>
      </c>
      <c r="D263" s="2" t="s">
        <v>64</v>
      </c>
      <c r="E263" s="2" t="s">
        <v>52</v>
      </c>
      <c r="F263" s="2" t="s">
        <v>583</v>
      </c>
      <c r="G263" s="2" t="s">
        <v>584</v>
      </c>
      <c r="H263" s="13">
        <v>6.85</v>
      </c>
      <c r="I263" s="13">
        <v>0.9</v>
      </c>
      <c r="J263" s="13">
        <v>3.2</v>
      </c>
      <c r="K263" s="14"/>
      <c r="L263" s="13"/>
      <c r="M263" s="13"/>
      <c r="N263" s="15"/>
      <c r="O263" s="16"/>
      <c r="P263" s="13"/>
      <c r="Q263" s="13"/>
      <c r="R263" s="17"/>
      <c r="S263" s="13"/>
      <c r="T263" s="17"/>
      <c r="U263" s="13"/>
      <c r="V263" s="16"/>
      <c r="W263" s="13"/>
      <c r="X263" s="13"/>
      <c r="Y263" s="14"/>
      <c r="Z263" s="2"/>
      <c r="AA263" s="13">
        <f>H263*I263/100</f>
      </c>
      <c r="AB263" s="13">
        <f>H263*J263/100</f>
      </c>
      <c r="AC263" s="15">
        <f>H263*K263</f>
      </c>
      <c r="AD263" s="15">
        <f>H263*M263</f>
      </c>
      <c r="AE263" s="13">
        <f>H263*L263/100</f>
      </c>
      <c r="AF263" s="13">
        <f>AA263+AB263+AE263</f>
      </c>
      <c r="AG263" s="13">
        <f>I263+J263+L263</f>
      </c>
      <c r="AH263" s="18">
        <f>$H263*I263</f>
      </c>
      <c r="AI263" s="18">
        <f>$H263*J263</f>
      </c>
      <c r="AJ263" s="18">
        <f>$H263*K263</f>
      </c>
      <c r="AK263" s="18">
        <f>$H263*L263</f>
      </c>
      <c r="AL263" s="18">
        <f>$H263*M263</f>
      </c>
      <c r="AM263" s="14"/>
      <c r="AN263" s="14"/>
      <c r="AO263" s="14"/>
    </row>
    <row x14ac:dyDescent="0.25" r="264" customHeight="1" ht="17.25">
      <c r="A264" s="2" t="s">
        <v>591</v>
      </c>
      <c r="B264" s="2" t="s">
        <v>429</v>
      </c>
      <c r="C264" s="2" t="s">
        <v>40</v>
      </c>
      <c r="D264" s="2" t="s">
        <v>64</v>
      </c>
      <c r="E264" s="2" t="s">
        <v>52</v>
      </c>
      <c r="F264" s="2" t="s">
        <v>583</v>
      </c>
      <c r="G264" s="2" t="s">
        <v>584</v>
      </c>
      <c r="H264" s="16">
        <f>45.1145+44.1125+7.32+12.7544</f>
      </c>
      <c r="I264" s="13">
        <f>(2.4*45.1145+1.29*44.1125+2.2*7.32+1.4*12.7544)/$H264</f>
      </c>
      <c r="J264" s="13">
        <f>(5.7*45.1145+4.1*44.1125+4.08*7.32+4.44*12.7544)/$H264</f>
      </c>
      <c r="K264" s="14"/>
      <c r="L264" s="13"/>
      <c r="M264" s="13"/>
      <c r="N264" s="15"/>
      <c r="O264" s="16"/>
      <c r="P264" s="13"/>
      <c r="Q264" s="13"/>
      <c r="R264" s="17"/>
      <c r="S264" s="13"/>
      <c r="T264" s="17"/>
      <c r="U264" s="13"/>
      <c r="V264" s="16"/>
      <c r="W264" s="13"/>
      <c r="X264" s="13"/>
      <c r="Y264" s="14"/>
      <c r="Z264" s="2"/>
      <c r="AA264" s="13">
        <f>H264*I264/100</f>
      </c>
      <c r="AB264" s="13">
        <f>H264*J264/100</f>
      </c>
      <c r="AC264" s="15">
        <f>H264*K264</f>
      </c>
      <c r="AD264" s="15">
        <f>H264*M264</f>
      </c>
      <c r="AE264" s="13">
        <f>H264*L264/100</f>
      </c>
      <c r="AF264" s="13">
        <f>AA264+AB264+AE264</f>
      </c>
      <c r="AG264" s="13">
        <f>I264+J264+L264</f>
      </c>
      <c r="AH264" s="18">
        <f>$H264*I264</f>
      </c>
      <c r="AI264" s="18">
        <f>$H264*J264</f>
      </c>
      <c r="AJ264" s="18">
        <f>$H264*K264</f>
      </c>
      <c r="AK264" s="18">
        <f>$H264*L264</f>
      </c>
      <c r="AL264" s="18">
        <f>$H264*M264</f>
      </c>
      <c r="AM264" s="14"/>
      <c r="AN264" s="14"/>
      <c r="AO264" s="14"/>
    </row>
    <row x14ac:dyDescent="0.25" r="265" customHeight="1" ht="17.25">
      <c r="A265" s="2" t="s">
        <v>592</v>
      </c>
      <c r="B265" s="2" t="s">
        <v>429</v>
      </c>
      <c r="C265" s="2" t="s">
        <v>56</v>
      </c>
      <c r="D265" s="2"/>
      <c r="E265" s="12" t="s">
        <v>42</v>
      </c>
      <c r="F265" s="2" t="s">
        <v>593</v>
      </c>
      <c r="G265" s="2" t="s">
        <v>594</v>
      </c>
      <c r="H265" s="13">
        <v>0.03</v>
      </c>
      <c r="I265" s="13">
        <v>6.7</v>
      </c>
      <c r="J265" s="13">
        <v>17.7</v>
      </c>
      <c r="K265" s="13">
        <v>449.13</v>
      </c>
      <c r="L265" s="13"/>
      <c r="M265" s="13">
        <v>1.71</v>
      </c>
      <c r="N265" s="15"/>
      <c r="O265" s="16"/>
      <c r="P265" s="13"/>
      <c r="Q265" s="13"/>
      <c r="R265" s="17"/>
      <c r="S265" s="13"/>
      <c r="T265" s="17"/>
      <c r="U265" s="13"/>
      <c r="V265" s="16"/>
      <c r="W265" s="13"/>
      <c r="X265" s="13"/>
      <c r="Y265" s="14"/>
      <c r="Z265" s="2"/>
      <c r="AA265" s="13">
        <f>H265*I265/100</f>
      </c>
      <c r="AB265" s="13">
        <f>H265*J265/100</f>
      </c>
      <c r="AC265" s="15">
        <f>H265*K265</f>
      </c>
      <c r="AD265" s="15">
        <f>H265*M265</f>
      </c>
      <c r="AE265" s="13">
        <f>H265*L265/100</f>
      </c>
      <c r="AF265" s="13">
        <f>AA265+AB265+AE265</f>
      </c>
      <c r="AG265" s="13">
        <f>I265+J265+L265</f>
      </c>
      <c r="AH265" s="18">
        <f>$H265*I265</f>
      </c>
      <c r="AI265" s="18">
        <f>$H265*J265</f>
      </c>
      <c r="AJ265" s="18">
        <f>$H265*K265</f>
      </c>
      <c r="AK265" s="18">
        <f>$H265*L265</f>
      </c>
      <c r="AL265" s="18">
        <f>$H265*M265</f>
      </c>
      <c r="AM265" s="14"/>
      <c r="AN265" s="14"/>
      <c r="AO265" s="14"/>
    </row>
    <row x14ac:dyDescent="0.25" r="266" customHeight="1" ht="17.25">
      <c r="A266" s="2" t="s">
        <v>595</v>
      </c>
      <c r="B266" s="2" t="s">
        <v>429</v>
      </c>
      <c r="C266" s="2" t="s">
        <v>50</v>
      </c>
      <c r="D266" s="2"/>
      <c r="E266" s="2" t="s">
        <v>52</v>
      </c>
      <c r="F266" s="2" t="s">
        <v>596</v>
      </c>
      <c r="G266" s="2" t="s">
        <v>73</v>
      </c>
      <c r="H266" s="13">
        <f>4.893+5.707+0.784</f>
      </c>
      <c r="I266" s="13"/>
      <c r="J266" s="13">
        <f>(4.01*4.893+4.24*5.707+4.49*0.784)/$H266</f>
      </c>
      <c r="K266" s="15">
        <f>(24.71*4.893+24.69*5.707+30.61*0.784)/$H266</f>
      </c>
      <c r="L266" s="13">
        <f>(2.27*4.893+1.34*5.707+1.05*0.784)/$H266</f>
      </c>
      <c r="M266" s="13">
        <f>(1.84*4.893+1.79*5.707+1.77*0.784)/$H266</f>
      </c>
      <c r="N266" s="15"/>
      <c r="O266" s="16"/>
      <c r="P266" s="13"/>
      <c r="Q266" s="13"/>
      <c r="R266" s="17"/>
      <c r="S266" s="13"/>
      <c r="T266" s="17"/>
      <c r="U266" s="13"/>
      <c r="V266" s="16"/>
      <c r="W266" s="13"/>
      <c r="X266" s="13"/>
      <c r="Y266" s="14"/>
      <c r="Z266" s="2"/>
      <c r="AA266" s="13">
        <f>H266*I266/100</f>
      </c>
      <c r="AB266" s="13">
        <f>H266*J266/100</f>
      </c>
      <c r="AC266" s="15">
        <f>H266*K266</f>
      </c>
      <c r="AD266" s="15">
        <f>H266*M266</f>
      </c>
      <c r="AE266" s="13">
        <f>H266*L266/100</f>
      </c>
      <c r="AF266" s="13">
        <f>AA266+AB266+AE266</f>
      </c>
      <c r="AG266" s="13">
        <f>I266+J266+L266</f>
      </c>
      <c r="AH266" s="18">
        <f>$H266*I266</f>
      </c>
      <c r="AI266" s="18">
        <f>$H266*J266</f>
      </c>
      <c r="AJ266" s="18">
        <f>$H266*K266</f>
      </c>
      <c r="AK266" s="18">
        <f>$H266*L266</f>
      </c>
      <c r="AL266" s="18">
        <f>$H266*M266</f>
      </c>
      <c r="AM266" s="14"/>
      <c r="AN266" s="14"/>
      <c r="AO266" s="14"/>
    </row>
    <row x14ac:dyDescent="0.25" r="267" customHeight="1" ht="17.25">
      <c r="A267" s="2" t="s">
        <v>597</v>
      </c>
      <c r="B267" s="2" t="s">
        <v>429</v>
      </c>
      <c r="C267" s="2" t="s">
        <v>50</v>
      </c>
      <c r="D267" s="2"/>
      <c r="E267" s="2" t="s">
        <v>52</v>
      </c>
      <c r="F267" s="2" t="s">
        <v>596</v>
      </c>
      <c r="G267" s="2" t="s">
        <v>598</v>
      </c>
      <c r="H267" s="13">
        <f>0.662+0.388</f>
      </c>
      <c r="I267" s="13"/>
      <c r="J267" s="13">
        <f>(8.99*0.662+7.86*0.388)/H267</f>
      </c>
      <c r="K267" s="15">
        <f>(10.42*0.662+14.97*0.388)/H267</f>
      </c>
      <c r="L267" s="13">
        <f>(1.76*0.662+2.19*0.388)/H267</f>
      </c>
      <c r="M267" s="13">
        <f>(0.05*0.662+0.06*0.388)/H267</f>
      </c>
      <c r="N267" s="15"/>
      <c r="O267" s="16"/>
      <c r="P267" s="13"/>
      <c r="Q267" s="13"/>
      <c r="R267" s="17"/>
      <c r="S267" s="13"/>
      <c r="T267" s="17"/>
      <c r="U267" s="13"/>
      <c r="V267" s="16"/>
      <c r="W267" s="13"/>
      <c r="X267" s="13"/>
      <c r="Y267" s="14"/>
      <c r="Z267" s="2"/>
      <c r="AA267" s="13">
        <f>H267*I267/100</f>
      </c>
      <c r="AB267" s="13">
        <f>H267*J267/100</f>
      </c>
      <c r="AC267" s="15">
        <f>H267*K267</f>
      </c>
      <c r="AD267" s="15">
        <f>H267*M267</f>
      </c>
      <c r="AE267" s="13">
        <f>H267*L267/100</f>
      </c>
      <c r="AF267" s="13">
        <f>AA267+AB267+AE267</f>
      </c>
      <c r="AG267" s="13">
        <f>I267+J267+L267</f>
      </c>
      <c r="AH267" s="18">
        <f>$H267*I267</f>
      </c>
      <c r="AI267" s="18">
        <f>$H267*J267</f>
      </c>
      <c r="AJ267" s="18">
        <f>$H267*K267</f>
      </c>
      <c r="AK267" s="18">
        <f>$H267*L267</f>
      </c>
      <c r="AL267" s="18">
        <f>$H267*M267</f>
      </c>
      <c r="AM267" s="14"/>
      <c r="AN267" s="14"/>
      <c r="AO267" s="14"/>
    </row>
    <row x14ac:dyDescent="0.25" r="268" customHeight="1" ht="17.25">
      <c r="A268" s="2" t="s">
        <v>599</v>
      </c>
      <c r="B268" s="2" t="s">
        <v>429</v>
      </c>
      <c r="C268" s="2" t="s">
        <v>50</v>
      </c>
      <c r="D268" s="2"/>
      <c r="E268" s="2" t="s">
        <v>52</v>
      </c>
      <c r="F268" s="2" t="s">
        <v>596</v>
      </c>
      <c r="G268" s="2" t="s">
        <v>73</v>
      </c>
      <c r="H268" s="13">
        <f>15.196+10.113</f>
      </c>
      <c r="I268" s="13"/>
      <c r="J268" s="13">
        <f>(6.69*15.196+2.49*10.113)/$H268</f>
      </c>
      <c r="K268" s="15">
        <f>(23.34*15.196+27.6*10.113)/$H268</f>
      </c>
      <c r="L268" s="13">
        <f>(0.63*15.196+1.04*10.113)/$H268</f>
      </c>
      <c r="M268" s="13">
        <f>(2.01*15.196+4.24*10.113)/$H268</f>
      </c>
      <c r="N268" s="15"/>
      <c r="O268" s="16"/>
      <c r="P268" s="13"/>
      <c r="Q268" s="13"/>
      <c r="R268" s="17"/>
      <c r="S268" s="13"/>
      <c r="T268" s="17"/>
      <c r="U268" s="13"/>
      <c r="V268" s="16"/>
      <c r="W268" s="13"/>
      <c r="X268" s="13"/>
      <c r="Y268" s="14"/>
      <c r="Z268" s="2"/>
      <c r="AA268" s="13">
        <f>H268*I268/100</f>
      </c>
      <c r="AB268" s="13">
        <f>H268*J268/100</f>
      </c>
      <c r="AC268" s="15">
        <f>H268*K268</f>
      </c>
      <c r="AD268" s="15">
        <f>H268*M268</f>
      </c>
      <c r="AE268" s="13">
        <f>H268*L268/100</f>
      </c>
      <c r="AF268" s="13">
        <f>AA268+AB268+AE268</f>
      </c>
      <c r="AG268" s="13">
        <f>I268+J268+L268</f>
      </c>
      <c r="AH268" s="18">
        <f>$H268*I268</f>
      </c>
      <c r="AI268" s="18">
        <f>$H268*J268</f>
      </c>
      <c r="AJ268" s="18">
        <f>$H268*K268</f>
      </c>
      <c r="AK268" s="18">
        <f>$H268*L268</f>
      </c>
      <c r="AL268" s="18">
        <f>$H268*M268</f>
      </c>
      <c r="AM268" s="14"/>
      <c r="AN268" s="14"/>
      <c r="AO268" s="14"/>
    </row>
    <row x14ac:dyDescent="0.25" r="269" customHeight="1" ht="17.25">
      <c r="A269" s="2" t="s">
        <v>600</v>
      </c>
      <c r="B269" s="2" t="s">
        <v>429</v>
      </c>
      <c r="C269" s="2" t="s">
        <v>50</v>
      </c>
      <c r="D269" s="2"/>
      <c r="E269" s="2" t="s">
        <v>52</v>
      </c>
      <c r="F269" s="2" t="s">
        <v>601</v>
      </c>
      <c r="G269" s="2" t="s">
        <v>73</v>
      </c>
      <c r="H269" s="13">
        <f>2.121+0.233</f>
      </c>
      <c r="I269" s="13"/>
      <c r="J269" s="13">
        <f>(0.5*2.121+0.52*0.233)/$H269</f>
      </c>
      <c r="K269" s="15">
        <f>(5.28*2.121+4.57*0.233)/$H269</f>
      </c>
      <c r="L269" s="13">
        <f>(3.8*2.121+4.31*0.233)/$H269</f>
      </c>
      <c r="M269" s="13">
        <f>(0.42*2.121+0.38*0.233)/$H269</f>
      </c>
      <c r="N269" s="15"/>
      <c r="O269" s="16"/>
      <c r="P269" s="13"/>
      <c r="Q269" s="13"/>
      <c r="R269" s="17"/>
      <c r="S269" s="13"/>
      <c r="T269" s="17"/>
      <c r="U269" s="13"/>
      <c r="V269" s="16"/>
      <c r="W269" s="13"/>
      <c r="X269" s="13"/>
      <c r="Y269" s="14"/>
      <c r="Z269" s="2"/>
      <c r="AA269" s="13">
        <f>H269*I269/100</f>
      </c>
      <c r="AB269" s="13">
        <f>H269*J269/100</f>
      </c>
      <c r="AC269" s="15">
        <f>H269*K269</f>
      </c>
      <c r="AD269" s="15">
        <f>H269*M269</f>
      </c>
      <c r="AE269" s="13">
        <f>H269*L269/100</f>
      </c>
      <c r="AF269" s="13">
        <f>AA269+AB269+AE269</f>
      </c>
      <c r="AG269" s="13">
        <f>I269+J269+L269</f>
      </c>
      <c r="AH269" s="18">
        <f>$H269*I269</f>
      </c>
      <c r="AI269" s="18">
        <f>$H269*J269</f>
      </c>
      <c r="AJ269" s="18">
        <f>$H269*K269</f>
      </c>
      <c r="AK269" s="18">
        <f>$H269*L269</f>
      </c>
      <c r="AL269" s="18">
        <f>$H269*M269</f>
      </c>
      <c r="AM269" s="14"/>
      <c r="AN269" s="14"/>
      <c r="AO269" s="14"/>
    </row>
    <row x14ac:dyDescent="0.25" r="270" customHeight="1" ht="17.25">
      <c r="A270" s="2" t="s">
        <v>602</v>
      </c>
      <c r="B270" s="2" t="s">
        <v>429</v>
      </c>
      <c r="C270" s="2" t="s">
        <v>50</v>
      </c>
      <c r="D270" s="2"/>
      <c r="E270" s="2" t="s">
        <v>52</v>
      </c>
      <c r="F270" s="2" t="s">
        <v>596</v>
      </c>
      <c r="G270" s="2" t="s">
        <v>598</v>
      </c>
      <c r="H270" s="13">
        <v>6.62</v>
      </c>
      <c r="I270" s="13"/>
      <c r="J270" s="13">
        <v>2.63</v>
      </c>
      <c r="K270" s="13">
        <v>25.61</v>
      </c>
      <c r="L270" s="13">
        <v>1.88</v>
      </c>
      <c r="M270" s="13">
        <v>0.66</v>
      </c>
      <c r="N270" s="15"/>
      <c r="O270" s="16"/>
      <c r="P270" s="13"/>
      <c r="Q270" s="13"/>
      <c r="R270" s="17"/>
      <c r="S270" s="13"/>
      <c r="T270" s="17"/>
      <c r="U270" s="13"/>
      <c r="V270" s="16"/>
      <c r="W270" s="13"/>
      <c r="X270" s="13"/>
      <c r="Y270" s="14"/>
      <c r="Z270" s="2"/>
      <c r="AA270" s="13">
        <f>H270*I270/100</f>
      </c>
      <c r="AB270" s="13">
        <f>H270*J270/100</f>
      </c>
      <c r="AC270" s="15">
        <f>H270*K270</f>
      </c>
      <c r="AD270" s="15">
        <f>H270*M270</f>
      </c>
      <c r="AE270" s="13">
        <f>H270*L270/100</f>
      </c>
      <c r="AF270" s="13">
        <f>AA270+AB270+AE270</f>
      </c>
      <c r="AG270" s="13">
        <f>I270+J270+L270</f>
      </c>
      <c r="AH270" s="18">
        <f>$H270*I270</f>
      </c>
      <c r="AI270" s="18">
        <f>$H270*J270</f>
      </c>
      <c r="AJ270" s="18">
        <f>$H270*K270</f>
      </c>
      <c r="AK270" s="18">
        <f>$H270*L270</f>
      </c>
      <c r="AL270" s="18">
        <f>$H270*M270</f>
      </c>
      <c r="AM270" s="14"/>
      <c r="AN270" s="14"/>
      <c r="AO270" s="14"/>
    </row>
    <row x14ac:dyDescent="0.25" r="271" customHeight="1" ht="17.25">
      <c r="A271" s="2" t="s">
        <v>603</v>
      </c>
      <c r="B271" s="2" t="s">
        <v>429</v>
      </c>
      <c r="C271" s="2" t="s">
        <v>50</v>
      </c>
      <c r="D271" s="2"/>
      <c r="E271" s="2" t="s">
        <v>52</v>
      </c>
      <c r="F271" s="2" t="s">
        <v>604</v>
      </c>
      <c r="G271" s="2" t="s">
        <v>605</v>
      </c>
      <c r="H271" s="13">
        <f>0.854+0.503</f>
      </c>
      <c r="I271" s="13"/>
      <c r="J271" s="13">
        <f>(1.78*0.854+1.33*0.503)/$H271</f>
      </c>
      <c r="K271" s="13">
        <f>(13.84*0.854+6.96*0.503)/$H271</f>
      </c>
      <c r="L271" s="13">
        <f>(1.22*0.854+0.79*0.503)/$H271</f>
      </c>
      <c r="M271" s="13">
        <f>(3.82*0.854+3.25*0.503)/$H271</f>
      </c>
      <c r="N271" s="15"/>
      <c r="O271" s="16"/>
      <c r="P271" s="13"/>
      <c r="Q271" s="13"/>
      <c r="R271" s="17"/>
      <c r="S271" s="13"/>
      <c r="T271" s="17"/>
      <c r="U271" s="13"/>
      <c r="V271" s="16"/>
      <c r="W271" s="13"/>
      <c r="X271" s="13"/>
      <c r="Y271" s="14"/>
      <c r="Z271" s="2"/>
      <c r="AA271" s="13">
        <f>H271*I271/100</f>
      </c>
      <c r="AB271" s="13">
        <f>H271*J271/100</f>
      </c>
      <c r="AC271" s="15">
        <f>H271*K271</f>
      </c>
      <c r="AD271" s="15">
        <f>H271*M271</f>
      </c>
      <c r="AE271" s="13">
        <f>H271*L271/100</f>
      </c>
      <c r="AF271" s="13">
        <f>AA271+AB271+AE271</f>
      </c>
      <c r="AG271" s="13">
        <f>I271+J271+L271</f>
      </c>
      <c r="AH271" s="18">
        <f>$H271*I271</f>
      </c>
      <c r="AI271" s="18">
        <f>$H271*J271</f>
      </c>
      <c r="AJ271" s="18">
        <f>$H271*K271</f>
      </c>
      <c r="AK271" s="18">
        <f>$H271*L271</f>
      </c>
      <c r="AL271" s="18">
        <f>$H271*M271</f>
      </c>
      <c r="AM271" s="14"/>
      <c r="AN271" s="14"/>
      <c r="AO271" s="14"/>
    </row>
    <row x14ac:dyDescent="0.25" r="272" customHeight="1" ht="17.25">
      <c r="A272" s="2" t="s">
        <v>606</v>
      </c>
      <c r="B272" s="2" t="s">
        <v>429</v>
      </c>
      <c r="C272" s="2" t="s">
        <v>50</v>
      </c>
      <c r="D272" s="2"/>
      <c r="E272" s="12" t="s">
        <v>42</v>
      </c>
      <c r="F272" s="2" t="s">
        <v>607</v>
      </c>
      <c r="G272" s="2" t="s">
        <v>608</v>
      </c>
      <c r="H272" s="13">
        <f>(0.97+0.043)*0.9072</f>
      </c>
      <c r="I272" s="15">
        <f>(0.7*0.97+1.1*0.043)/(0.97+0.043)</f>
      </c>
      <c r="J272" s="15">
        <f>(9.5*0.97+7.3*0.043)/(0.97+0.043)</f>
      </c>
      <c r="K272" s="17">
        <f>((3.4*0.97+4*0.043)/(0.97+0.043))*31.1/0.9072</f>
      </c>
      <c r="L272" s="13"/>
      <c r="M272" s="15">
        <f>0.02*31.1/0.9072</f>
      </c>
      <c r="N272" s="15"/>
      <c r="O272" s="16"/>
      <c r="P272" s="13"/>
      <c r="Q272" s="13"/>
      <c r="R272" s="17"/>
      <c r="S272" s="13"/>
      <c r="T272" s="17"/>
      <c r="U272" s="13"/>
      <c r="V272" s="16"/>
      <c r="W272" s="13"/>
      <c r="X272" s="13"/>
      <c r="Y272" s="14"/>
      <c r="Z272" s="2"/>
      <c r="AA272" s="13">
        <f>H272*I272/100</f>
      </c>
      <c r="AB272" s="13">
        <f>H272*J272/100</f>
      </c>
      <c r="AC272" s="15">
        <f>H272*K272</f>
      </c>
      <c r="AD272" s="15">
        <f>H272*M272</f>
      </c>
      <c r="AE272" s="13">
        <f>H272*L272/100</f>
      </c>
      <c r="AF272" s="13">
        <f>AA272+AB272+AE272</f>
      </c>
      <c r="AG272" s="13">
        <f>I272+J272+L272</f>
      </c>
      <c r="AH272" s="18">
        <f>$H272*I272</f>
      </c>
      <c r="AI272" s="18">
        <f>$H272*J272</f>
      </c>
      <c r="AJ272" s="18">
        <f>$H272*K272</f>
      </c>
      <c r="AK272" s="18">
        <f>$H272*L272</f>
      </c>
      <c r="AL272" s="18">
        <f>$H272*M272</f>
      </c>
      <c r="AM272" s="14"/>
      <c r="AN272" s="14"/>
      <c r="AO272" s="14"/>
    </row>
    <row x14ac:dyDescent="0.25" r="273" customHeight="1" ht="17.25">
      <c r="A273" s="2" t="s">
        <v>609</v>
      </c>
      <c r="B273" s="2" t="s">
        <v>429</v>
      </c>
      <c r="C273" s="2" t="s">
        <v>610</v>
      </c>
      <c r="D273" s="2"/>
      <c r="E273" s="12" t="s">
        <v>42</v>
      </c>
      <c r="F273" s="2" t="s">
        <v>611</v>
      </c>
      <c r="G273" s="2" t="s">
        <v>434</v>
      </c>
      <c r="H273" s="16">
        <v>0.317485</v>
      </c>
      <c r="I273" s="13">
        <v>0.1</v>
      </c>
      <c r="J273" s="13">
        <v>2.6</v>
      </c>
      <c r="K273" s="15">
        <f>0.39*31.1/0.9072</f>
      </c>
      <c r="L273" s="13">
        <v>0.1</v>
      </c>
      <c r="M273" s="13">
        <f>0.102*31.1/0.9072</f>
      </c>
      <c r="N273" s="15"/>
      <c r="O273" s="16"/>
      <c r="P273" s="13"/>
      <c r="Q273" s="13"/>
      <c r="R273" s="17"/>
      <c r="S273" s="13"/>
      <c r="T273" s="17"/>
      <c r="U273" s="13"/>
      <c r="V273" s="16"/>
      <c r="W273" s="13"/>
      <c r="X273" s="13"/>
      <c r="Y273" s="14"/>
      <c r="Z273" s="2"/>
      <c r="AA273" s="13">
        <f>H273*I273/100</f>
      </c>
      <c r="AB273" s="13">
        <f>H273*J273/100</f>
      </c>
      <c r="AC273" s="15">
        <f>H273*K273</f>
      </c>
      <c r="AD273" s="15">
        <f>H273*M273</f>
      </c>
      <c r="AE273" s="13">
        <f>H273*L273/100</f>
      </c>
      <c r="AF273" s="13">
        <f>AA273+AB273+AE273</f>
      </c>
      <c r="AG273" s="13">
        <f>I273+J273+L273</f>
      </c>
      <c r="AH273" s="18">
        <f>$H273*I273</f>
      </c>
      <c r="AI273" s="18">
        <f>$H273*J273</f>
      </c>
      <c r="AJ273" s="18">
        <f>$H273*K273</f>
      </c>
      <c r="AK273" s="18">
        <f>$H273*L273</f>
      </c>
      <c r="AL273" s="18">
        <f>$H273*M273</f>
      </c>
      <c r="AM273" s="14"/>
      <c r="AN273" s="14"/>
      <c r="AO273" s="14"/>
    </row>
    <row x14ac:dyDescent="0.25" r="274" customHeight="1" ht="17.25">
      <c r="A274" s="2" t="s">
        <v>612</v>
      </c>
      <c r="B274" s="2" t="s">
        <v>429</v>
      </c>
      <c r="C274" s="2" t="s">
        <v>50</v>
      </c>
      <c r="D274" s="2"/>
      <c r="E274" s="2" t="s">
        <v>52</v>
      </c>
      <c r="F274" s="2" t="s">
        <v>154</v>
      </c>
      <c r="G274" s="2" t="s">
        <v>58</v>
      </c>
      <c r="H274" s="13">
        <f>13+1.2</f>
      </c>
      <c r="I274" s="15">
        <f>(1.4*13+1.3*1.2)/$H274</f>
      </c>
      <c r="J274" s="15">
        <f>(13*13+11*1.2)/$H274</f>
      </c>
      <c r="K274" s="17">
        <f>(73*13+73*1.2)/$H274</f>
      </c>
      <c r="L274" s="15">
        <f>(2.4*13+1.5*1.2)/$H274</f>
      </c>
      <c r="M274" s="13">
        <f>(0.18*13+0.21*1.2)/$H274</f>
      </c>
      <c r="N274" s="15"/>
      <c r="O274" s="16"/>
      <c r="P274" s="13"/>
      <c r="Q274" s="13"/>
      <c r="R274" s="17"/>
      <c r="S274" s="13"/>
      <c r="T274" s="17"/>
      <c r="U274" s="13"/>
      <c r="V274" s="16"/>
      <c r="W274" s="13"/>
      <c r="X274" s="13"/>
      <c r="Y274" s="14"/>
      <c r="Z274" s="2"/>
      <c r="AA274" s="13">
        <f>H274*I274/100</f>
      </c>
      <c r="AB274" s="13">
        <f>H274*J274/100</f>
      </c>
      <c r="AC274" s="15">
        <f>H274*K274</f>
      </c>
      <c r="AD274" s="15">
        <f>H274*M274</f>
      </c>
      <c r="AE274" s="13">
        <f>H274*L274/100</f>
      </c>
      <c r="AF274" s="13">
        <f>AA274+AB274+AE274</f>
      </c>
      <c r="AG274" s="13">
        <f>I274+J274+L274</f>
      </c>
      <c r="AH274" s="18">
        <f>$H274*I274</f>
      </c>
      <c r="AI274" s="18">
        <f>$H274*J274</f>
      </c>
      <c r="AJ274" s="18">
        <f>$H274*K274</f>
      </c>
      <c r="AK274" s="18">
        <f>$H274*L274</f>
      </c>
      <c r="AL274" s="18">
        <f>$H274*M274</f>
      </c>
      <c r="AM274" s="14"/>
      <c r="AN274" s="14"/>
      <c r="AO274" s="14"/>
    </row>
    <row x14ac:dyDescent="0.25" r="275" customHeight="1" ht="17.25">
      <c r="A275" s="2" t="s">
        <v>613</v>
      </c>
      <c r="B275" s="2" t="s">
        <v>429</v>
      </c>
      <c r="C275" s="2" t="s">
        <v>40</v>
      </c>
      <c r="D275" s="2" t="s">
        <v>64</v>
      </c>
      <c r="E275" s="2" t="s">
        <v>52</v>
      </c>
      <c r="F275" s="2" t="s">
        <v>614</v>
      </c>
      <c r="G275" s="2" t="s">
        <v>615</v>
      </c>
      <c r="H275" s="16">
        <f>1.202+1.1657+4.5381+0.2928</f>
      </c>
      <c r="I275" s="13">
        <f>(2.4*1.202+2.01*1.1657+2.16*4.5381+0.91*0.2928)/$H275</f>
      </c>
      <c r="J275" s="13">
        <f>(4.46*1.202+3.86*1.1657+2.99*4.5381+0.73*0.2928)/$H275</f>
      </c>
      <c r="K275" s="15">
        <f>(69*1.202+64.9*1.1657+67.8*4.5381+49*0.2928)/$H275</f>
      </c>
      <c r="L275" s="13"/>
      <c r="M275" s="13">
        <f>(6.71*1.202+6.92*1.1657+5.19*4.5381+4.54*0.2928)/$H275</f>
      </c>
      <c r="N275" s="15"/>
      <c r="O275" s="16"/>
      <c r="P275" s="13"/>
      <c r="Q275" s="13"/>
      <c r="R275" s="17"/>
      <c r="S275" s="13"/>
      <c r="T275" s="17"/>
      <c r="U275" s="13"/>
      <c r="V275" s="16"/>
      <c r="W275" s="13"/>
      <c r="X275" s="13"/>
      <c r="Y275" s="14"/>
      <c r="Z275" s="2"/>
      <c r="AA275" s="13">
        <f>H275*I275/100</f>
      </c>
      <c r="AB275" s="13">
        <f>H275*J275/100</f>
      </c>
      <c r="AC275" s="15">
        <f>H275*K275</f>
      </c>
      <c r="AD275" s="15">
        <f>H275*M275</f>
      </c>
      <c r="AE275" s="13">
        <f>H275*L275/100</f>
      </c>
      <c r="AF275" s="13">
        <f>AA275+AB275+AE275</f>
      </c>
      <c r="AG275" s="13">
        <f>I275+J275+L275</f>
      </c>
      <c r="AH275" s="18">
        <f>$H275*I275</f>
      </c>
      <c r="AI275" s="18">
        <f>$H275*J275</f>
      </c>
      <c r="AJ275" s="18">
        <f>$H275*K275</f>
      </c>
      <c r="AK275" s="18">
        <f>$H275*L275</f>
      </c>
      <c r="AL275" s="18">
        <f>$H275*M275</f>
      </c>
      <c r="AM275" s="14"/>
      <c r="AN275" s="14"/>
      <c r="AO275" s="14"/>
    </row>
    <row x14ac:dyDescent="0.25" r="276" customHeight="1" ht="17.25">
      <c r="A276" s="2" t="s">
        <v>616</v>
      </c>
      <c r="B276" s="2" t="s">
        <v>429</v>
      </c>
      <c r="C276" s="2" t="s">
        <v>40</v>
      </c>
      <c r="D276" s="2" t="s">
        <v>64</v>
      </c>
      <c r="E276" s="2" t="s">
        <v>52</v>
      </c>
      <c r="F276" s="2" t="s">
        <v>596</v>
      </c>
      <c r="G276" s="2" t="s">
        <v>617</v>
      </c>
      <c r="H276" s="13">
        <f>1.46+11</f>
      </c>
      <c r="I276" s="13">
        <f>(7.42*1.46+3.96*11)/$H276</f>
      </c>
      <c r="J276" s="13">
        <f>(5.25*1.46+6.75*11)/$H276</f>
      </c>
      <c r="K276" s="13">
        <f>(7.42*1.46+3.96*11)/$H276</f>
      </c>
      <c r="L276" s="13"/>
      <c r="M276" s="13"/>
      <c r="N276" s="15"/>
      <c r="O276" s="16"/>
      <c r="P276" s="13"/>
      <c r="Q276" s="13"/>
      <c r="R276" s="17"/>
      <c r="S276" s="13"/>
      <c r="T276" s="17"/>
      <c r="U276" s="13"/>
      <c r="V276" s="16"/>
      <c r="W276" s="13"/>
      <c r="X276" s="13"/>
      <c r="Y276" s="14"/>
      <c r="Z276" s="2"/>
      <c r="AA276" s="13">
        <f>H276*I276/100</f>
      </c>
      <c r="AB276" s="13">
        <f>H276*J276/100</f>
      </c>
      <c r="AC276" s="15">
        <f>H276*K276</f>
      </c>
      <c r="AD276" s="15">
        <f>H276*M276</f>
      </c>
      <c r="AE276" s="13">
        <f>H276*L276/100</f>
      </c>
      <c r="AF276" s="13">
        <f>AA276+AB276+AE276</f>
      </c>
      <c r="AG276" s="13">
        <f>I276+J276+L276</f>
      </c>
      <c r="AH276" s="18">
        <f>$H276*I276</f>
      </c>
      <c r="AI276" s="18">
        <f>$H276*J276</f>
      </c>
      <c r="AJ276" s="18">
        <f>$H276*K276</f>
      </c>
      <c r="AK276" s="18">
        <f>$H276*L276</f>
      </c>
      <c r="AL276" s="18">
        <f>$H276*M276</f>
      </c>
      <c r="AM276" s="14"/>
      <c r="AN276" s="14"/>
      <c r="AO276" s="14"/>
    </row>
    <row x14ac:dyDescent="0.25" r="277" customHeight="1" ht="17.25">
      <c r="A277" s="2" t="s">
        <v>618</v>
      </c>
      <c r="B277" s="2" t="s">
        <v>429</v>
      </c>
      <c r="C277" s="2" t="s">
        <v>40</v>
      </c>
      <c r="D277" s="2" t="s">
        <v>64</v>
      </c>
      <c r="E277" s="12" t="s">
        <v>42</v>
      </c>
      <c r="F277" s="2" t="s">
        <v>43</v>
      </c>
      <c r="G277" s="2" t="s">
        <v>46</v>
      </c>
      <c r="H277" s="13">
        <v>7.88</v>
      </c>
      <c r="I277" s="13">
        <v>1.63</v>
      </c>
      <c r="J277" s="13">
        <v>3.49</v>
      </c>
      <c r="K277" s="15">
        <v>3</v>
      </c>
      <c r="L277" s="13"/>
      <c r="M277" s="13"/>
      <c r="N277" s="15"/>
      <c r="O277" s="16"/>
      <c r="P277" s="13"/>
      <c r="Q277" s="13"/>
      <c r="R277" s="17"/>
      <c r="S277" s="13"/>
      <c r="T277" s="17"/>
      <c r="U277" s="13"/>
      <c r="V277" s="16"/>
      <c r="W277" s="13"/>
      <c r="X277" s="13"/>
      <c r="Y277" s="14"/>
      <c r="Z277" s="2"/>
      <c r="AA277" s="13">
        <f>H277*I277/100</f>
      </c>
      <c r="AB277" s="13">
        <f>H277*J277/100</f>
      </c>
      <c r="AC277" s="15">
        <f>H277*K277</f>
      </c>
      <c r="AD277" s="15">
        <f>H277*M277</f>
      </c>
      <c r="AE277" s="13">
        <f>H277*L277/100</f>
      </c>
      <c r="AF277" s="13">
        <f>AA277+AB277+AE277</f>
      </c>
      <c r="AG277" s="13">
        <f>I277+J277+L277</f>
      </c>
      <c r="AH277" s="18">
        <f>$H277*I277</f>
      </c>
      <c r="AI277" s="18">
        <f>$H277*J277</f>
      </c>
      <c r="AJ277" s="18">
        <f>$H277*K277</f>
      </c>
      <c r="AK277" s="18">
        <f>$H277*L277</f>
      </c>
      <c r="AL277" s="18">
        <f>$H277*M277</f>
      </c>
      <c r="AM277" s="14"/>
      <c r="AN277" s="14"/>
      <c r="AO277" s="14"/>
    </row>
    <row x14ac:dyDescent="0.25" r="278" customHeight="1" ht="17.25">
      <c r="A278" s="2" t="s">
        <v>619</v>
      </c>
      <c r="B278" s="2" t="s">
        <v>429</v>
      </c>
      <c r="C278" s="2" t="s">
        <v>620</v>
      </c>
      <c r="D278" s="2"/>
      <c r="E278" s="12" t="s">
        <v>42</v>
      </c>
      <c r="F278" s="2" t="s">
        <v>436</v>
      </c>
      <c r="G278" s="2" t="s">
        <v>437</v>
      </c>
      <c r="H278" s="16">
        <f>2.807*0.9072</f>
      </c>
      <c r="I278" s="13"/>
      <c r="J278" s="13">
        <v>0.96</v>
      </c>
      <c r="K278" s="15">
        <f>1.11*31.1/0.9072</f>
      </c>
      <c r="L278" s="13">
        <v>1.12</v>
      </c>
      <c r="M278" s="13"/>
      <c r="N278" s="15"/>
      <c r="O278" s="16"/>
      <c r="P278" s="13"/>
      <c r="Q278" s="13"/>
      <c r="R278" s="17"/>
      <c r="S278" s="13"/>
      <c r="T278" s="17"/>
      <c r="U278" s="13"/>
      <c r="V278" s="16"/>
      <c r="W278" s="13"/>
      <c r="X278" s="13"/>
      <c r="Y278" s="14"/>
      <c r="Z278" s="2"/>
      <c r="AA278" s="13">
        <f>H278*I278/100</f>
      </c>
      <c r="AB278" s="13">
        <f>H278*J278/100</f>
      </c>
      <c r="AC278" s="15">
        <f>H278*K278</f>
      </c>
      <c r="AD278" s="15">
        <f>H278*M278</f>
      </c>
      <c r="AE278" s="13">
        <f>H278*L278/100</f>
      </c>
      <c r="AF278" s="13">
        <f>AA278+AB278+AE278</f>
      </c>
      <c r="AG278" s="13">
        <f>I278+J278+L278</f>
      </c>
      <c r="AH278" s="18">
        <f>$H278*I278</f>
      </c>
      <c r="AI278" s="18">
        <f>$H278*J278</f>
      </c>
      <c r="AJ278" s="18">
        <f>$H278*K278</f>
      </c>
      <c r="AK278" s="18">
        <f>$H278*L278</f>
      </c>
      <c r="AL278" s="18">
        <f>$H278*M278</f>
      </c>
      <c r="AM278" s="14"/>
      <c r="AN278" s="14"/>
      <c r="AO278" s="14"/>
    </row>
    <row x14ac:dyDescent="0.25" r="279" customHeight="1" ht="17.25">
      <c r="A279" s="2" t="s">
        <v>621</v>
      </c>
      <c r="B279" s="2" t="s">
        <v>429</v>
      </c>
      <c r="C279" s="2" t="s">
        <v>40</v>
      </c>
      <c r="D279" s="2" t="s">
        <v>41</v>
      </c>
      <c r="E279" s="2" t="s">
        <v>52</v>
      </c>
      <c r="F279" s="2" t="s">
        <v>622</v>
      </c>
      <c r="G279" s="2" t="s">
        <v>623</v>
      </c>
      <c r="H279" s="16">
        <v>3.464892</v>
      </c>
      <c r="I279" s="13">
        <v>0.86</v>
      </c>
      <c r="J279" s="13">
        <v>3.62</v>
      </c>
      <c r="K279" s="14"/>
      <c r="L279" s="13"/>
      <c r="M279" s="13"/>
      <c r="N279" s="15"/>
      <c r="O279" s="16"/>
      <c r="P279" s="13"/>
      <c r="Q279" s="13"/>
      <c r="R279" s="17"/>
      <c r="S279" s="13"/>
      <c r="T279" s="17"/>
      <c r="U279" s="13"/>
      <c r="V279" s="16"/>
      <c r="W279" s="13"/>
      <c r="X279" s="13"/>
      <c r="Y279" s="14"/>
      <c r="Z279" s="2"/>
      <c r="AA279" s="13">
        <f>H279*I279/100</f>
      </c>
      <c r="AB279" s="13">
        <f>H279*J279/100</f>
      </c>
      <c r="AC279" s="15">
        <f>H279*K279</f>
      </c>
      <c r="AD279" s="15">
        <f>H279*M279</f>
      </c>
      <c r="AE279" s="13">
        <f>H279*L279/100</f>
      </c>
      <c r="AF279" s="13">
        <f>AA279+AB279+AE279</f>
      </c>
      <c r="AG279" s="13">
        <f>I279+J279+L279</f>
      </c>
      <c r="AH279" s="18">
        <f>$H279*I279</f>
      </c>
      <c r="AI279" s="18">
        <f>$H279*J279</f>
      </c>
      <c r="AJ279" s="18">
        <f>$H279*K279</f>
      </c>
      <c r="AK279" s="18">
        <f>$H279*L279</f>
      </c>
      <c r="AL279" s="18">
        <f>$H279*M279</f>
      </c>
      <c r="AM279" s="14"/>
      <c r="AN279" s="14"/>
      <c r="AO279" s="14"/>
    </row>
    <row x14ac:dyDescent="0.25" r="280" customHeight="1" ht="17.25">
      <c r="A280" s="2" t="s">
        <v>624</v>
      </c>
      <c r="B280" s="2" t="s">
        <v>429</v>
      </c>
      <c r="C280" s="2" t="s">
        <v>625</v>
      </c>
      <c r="D280" s="2" t="s">
        <v>626</v>
      </c>
      <c r="E280" s="2" t="s">
        <v>52</v>
      </c>
      <c r="F280" s="2" t="s">
        <v>627</v>
      </c>
      <c r="G280" s="2" t="s">
        <v>628</v>
      </c>
      <c r="H280" s="13">
        <v>63.97</v>
      </c>
      <c r="I280" s="13">
        <v>0.21</v>
      </c>
      <c r="J280" s="13">
        <v>0.64</v>
      </c>
      <c r="K280" s="13">
        <v>23.63</v>
      </c>
      <c r="L280" s="13">
        <v>0.12</v>
      </c>
      <c r="M280" s="13"/>
      <c r="N280" s="15"/>
      <c r="O280" s="16"/>
      <c r="P280" s="13"/>
      <c r="Q280" s="16">
        <v>0.02245</v>
      </c>
      <c r="R280" s="13">
        <v>5.07</v>
      </c>
      <c r="S280" s="13"/>
      <c r="T280" s="17"/>
      <c r="U280" s="13"/>
      <c r="V280" s="16"/>
      <c r="W280" s="13"/>
      <c r="X280" s="13"/>
      <c r="Y280" s="16">
        <v>0.011609</v>
      </c>
      <c r="Z280" s="2" t="s">
        <v>418</v>
      </c>
      <c r="AA280" s="13">
        <f>H280*I280/100</f>
      </c>
      <c r="AB280" s="13">
        <f>H280*J280/100</f>
      </c>
      <c r="AC280" s="15">
        <f>H280*K280</f>
      </c>
      <c r="AD280" s="15">
        <f>H280*M280</f>
      </c>
      <c r="AE280" s="13">
        <f>H280*L280/100</f>
      </c>
      <c r="AF280" s="13">
        <f>AA280+AB280+AE280</f>
      </c>
      <c r="AG280" s="13">
        <f>I280+J280+L280</f>
      </c>
      <c r="AH280" s="18">
        <f>$H280*I280</f>
      </c>
      <c r="AI280" s="18">
        <f>$H280*J280</f>
      </c>
      <c r="AJ280" s="18">
        <f>$H280*K280</f>
      </c>
      <c r="AK280" s="18">
        <f>$H280*L280</f>
      </c>
      <c r="AL280" s="18">
        <f>$H280*M280</f>
      </c>
      <c r="AM280" s="14"/>
      <c r="AN280" s="14"/>
      <c r="AO280" s="14"/>
    </row>
    <row x14ac:dyDescent="0.25" r="281" customHeight="1" ht="17.25">
      <c r="A281" s="2" t="s">
        <v>629</v>
      </c>
      <c r="B281" s="2" t="s">
        <v>429</v>
      </c>
      <c r="C281" s="2" t="s">
        <v>50</v>
      </c>
      <c r="D281" s="2"/>
      <c r="E281" s="12" t="s">
        <v>42</v>
      </c>
      <c r="F281" s="2" t="s">
        <v>630</v>
      </c>
      <c r="G281" s="2" t="s">
        <v>449</v>
      </c>
      <c r="H281" s="16">
        <f>0.879964+0.039</f>
      </c>
      <c r="I281" s="15">
        <f>(0.7*0.879964+1.1*0.039)/$H281</f>
      </c>
      <c r="J281" s="15">
        <f>(9.5*0.879964+7.3*0.039)/$H281</f>
      </c>
      <c r="K281" s="15">
        <f>(116.5*0.879964+137*0.039)/$H281</f>
      </c>
      <c r="L281" s="13"/>
      <c r="M281" s="13"/>
      <c r="N281" s="15"/>
      <c r="O281" s="16"/>
      <c r="P281" s="13"/>
      <c r="Q281" s="13"/>
      <c r="R281" s="17"/>
      <c r="S281" s="13"/>
      <c r="T281" s="17"/>
      <c r="U281" s="13"/>
      <c r="V281" s="16"/>
      <c r="W281" s="13"/>
      <c r="X281" s="13"/>
      <c r="Y281" s="14"/>
      <c r="Z281" s="2"/>
      <c r="AA281" s="13">
        <f>H281*I281/100</f>
      </c>
      <c r="AB281" s="13">
        <f>H281*J281/100</f>
      </c>
      <c r="AC281" s="15">
        <f>H281*K281</f>
      </c>
      <c r="AD281" s="15">
        <f>H281*M281</f>
      </c>
      <c r="AE281" s="13">
        <f>H281*L281/100</f>
      </c>
      <c r="AF281" s="13">
        <f>AA281+AB281+AE281</f>
      </c>
      <c r="AG281" s="13">
        <f>I281+J281+L281</f>
      </c>
      <c r="AH281" s="18">
        <f>$H281*I281</f>
      </c>
      <c r="AI281" s="18">
        <f>$H281*J281</f>
      </c>
      <c r="AJ281" s="18">
        <f>$H281*K281</f>
      </c>
      <c r="AK281" s="18">
        <f>$H281*L281</f>
      </c>
      <c r="AL281" s="18">
        <f>$H281*M281</f>
      </c>
      <c r="AM281" s="14"/>
      <c r="AN281" s="14"/>
      <c r="AO281" s="14"/>
    </row>
    <row x14ac:dyDescent="0.25" r="282" customHeight="1" ht="17.25">
      <c r="A282" s="2" t="s">
        <v>631</v>
      </c>
      <c r="B282" s="2" t="s">
        <v>429</v>
      </c>
      <c r="C282" s="2" t="s">
        <v>442</v>
      </c>
      <c r="D282" s="2"/>
      <c r="E282" s="2" t="s">
        <v>52</v>
      </c>
      <c r="F282" s="2" t="s">
        <v>632</v>
      </c>
      <c r="G282" s="2" t="s">
        <v>633</v>
      </c>
      <c r="H282" s="13">
        <f>0.365+0.243</f>
      </c>
      <c r="I282" s="15">
        <f>(5.3*0.365+4.1*0.243)/$H282</f>
      </c>
      <c r="J282" s="15">
        <f>(5.3*0.365+5.1*0.243)/$H282</f>
      </c>
      <c r="K282" s="17">
        <f>(658*0.365+428*0.243)/$H282</f>
      </c>
      <c r="L282" s="13"/>
      <c r="M282" s="13"/>
      <c r="N282" s="15"/>
      <c r="O282" s="16"/>
      <c r="P282" s="13"/>
      <c r="Q282" s="13"/>
      <c r="R282" s="17"/>
      <c r="S282" s="13"/>
      <c r="T282" s="17"/>
      <c r="U282" s="13"/>
      <c r="V282" s="16"/>
      <c r="W282" s="13"/>
      <c r="X282" s="13"/>
      <c r="Y282" s="14"/>
      <c r="Z282" s="2"/>
      <c r="AA282" s="13">
        <f>H282*I282/100</f>
      </c>
      <c r="AB282" s="13">
        <f>H282*J282/100</f>
      </c>
      <c r="AC282" s="15">
        <f>H282*K282</f>
      </c>
      <c r="AD282" s="15">
        <f>H282*M282</f>
      </c>
      <c r="AE282" s="13">
        <f>H282*L282/100</f>
      </c>
      <c r="AF282" s="13">
        <f>AA282+AB282+AE282</f>
      </c>
      <c r="AG282" s="13">
        <f>I282+J282+L282</f>
      </c>
      <c r="AH282" s="18">
        <f>$H282*I282</f>
      </c>
      <c r="AI282" s="18">
        <f>$H282*J282</f>
      </c>
      <c r="AJ282" s="18">
        <f>$H282*K282</f>
      </c>
      <c r="AK282" s="18">
        <f>$H282*L282</f>
      </c>
      <c r="AL282" s="18">
        <f>$H282*M282</f>
      </c>
      <c r="AM282" s="14"/>
      <c r="AN282" s="14"/>
      <c r="AO282" s="14"/>
    </row>
    <row x14ac:dyDescent="0.25" r="283" customHeight="1" ht="17.25">
      <c r="A283" s="2" t="s">
        <v>634</v>
      </c>
      <c r="B283" s="2" t="s">
        <v>429</v>
      </c>
      <c r="C283" s="2" t="s">
        <v>442</v>
      </c>
      <c r="D283" s="2"/>
      <c r="E283" s="2" t="s">
        <v>52</v>
      </c>
      <c r="F283" s="2" t="s">
        <v>632</v>
      </c>
      <c r="G283" s="2" t="s">
        <v>635</v>
      </c>
      <c r="H283" s="13">
        <f>1.378+0.107</f>
      </c>
      <c r="I283" s="13">
        <f>(1.72*1.378+0.88*0.107)/$H283</f>
      </c>
      <c r="J283" s="13">
        <f>(5.7*1.378+4.21*0.107)/$H283</f>
      </c>
      <c r="K283" s="17">
        <f>(516*1.378+313*0.107)/$H283</f>
      </c>
      <c r="L283" s="13"/>
      <c r="M283" s="13">
        <f>(0.42*1.378+0.27*0.107)/$H283</f>
      </c>
      <c r="N283" s="15"/>
      <c r="O283" s="16"/>
      <c r="P283" s="13"/>
      <c r="Q283" s="13"/>
      <c r="R283" s="17"/>
      <c r="S283" s="13"/>
      <c r="T283" s="17"/>
      <c r="U283" s="13"/>
      <c r="V283" s="16"/>
      <c r="W283" s="13"/>
      <c r="X283" s="13"/>
      <c r="Y283" s="14"/>
      <c r="Z283" s="2"/>
      <c r="AA283" s="13">
        <f>H283*I283/100</f>
      </c>
      <c r="AB283" s="13">
        <f>H283*J283/100</f>
      </c>
      <c r="AC283" s="15">
        <f>H283*K283</f>
      </c>
      <c r="AD283" s="15">
        <f>H283*M283</f>
      </c>
      <c r="AE283" s="13">
        <f>H283*L283/100</f>
      </c>
      <c r="AF283" s="13">
        <f>AA283+AB283+AE283</f>
      </c>
      <c r="AG283" s="13">
        <f>I283+J283+L283</f>
      </c>
      <c r="AH283" s="18">
        <f>$H283*I283</f>
      </c>
      <c r="AI283" s="18">
        <f>$H283*J283</f>
      </c>
      <c r="AJ283" s="18">
        <f>$H283*K283</f>
      </c>
      <c r="AK283" s="18">
        <f>$H283*L283</f>
      </c>
      <c r="AL283" s="18">
        <f>$H283*M283</f>
      </c>
      <c r="AM283" s="14"/>
      <c r="AN283" s="14"/>
      <c r="AO283" s="14"/>
    </row>
    <row x14ac:dyDescent="0.25" r="284" customHeight="1" ht="17.25">
      <c r="A284" s="2" t="s">
        <v>636</v>
      </c>
      <c r="B284" s="2" t="s">
        <v>429</v>
      </c>
      <c r="C284" s="2" t="s">
        <v>442</v>
      </c>
      <c r="D284" s="2"/>
      <c r="E284" s="2" t="s">
        <v>52</v>
      </c>
      <c r="F284" s="2" t="s">
        <v>632</v>
      </c>
      <c r="G284" s="2" t="s">
        <v>633</v>
      </c>
      <c r="H284" s="13">
        <f>0.124+0.15</f>
      </c>
      <c r="I284" s="13">
        <f>(2.57*0.124+1.37*0.15)/$H284</f>
      </c>
      <c r="J284" s="13">
        <f>(1.72*0.124+0.92*0.15)/$H284</f>
      </c>
      <c r="K284" s="17">
        <f>(1227*0.124+571*0.15)/$H284</f>
      </c>
      <c r="L284" s="13"/>
      <c r="M284" s="13">
        <f>(0.17*0.124+0.16*0.15)/$H284</f>
      </c>
      <c r="N284" s="15"/>
      <c r="O284" s="16"/>
      <c r="P284" s="13"/>
      <c r="Q284" s="13"/>
      <c r="R284" s="17"/>
      <c r="S284" s="13"/>
      <c r="T284" s="17"/>
      <c r="U284" s="13"/>
      <c r="V284" s="16"/>
      <c r="W284" s="13"/>
      <c r="X284" s="13"/>
      <c r="Y284" s="14"/>
      <c r="Z284" s="2"/>
      <c r="AA284" s="13">
        <f>H284*I284/100</f>
      </c>
      <c r="AB284" s="13">
        <f>H284*J284/100</f>
      </c>
      <c r="AC284" s="15">
        <f>H284*K284</f>
      </c>
      <c r="AD284" s="15">
        <f>H284*M284</f>
      </c>
      <c r="AE284" s="13">
        <f>H284*L284/100</f>
      </c>
      <c r="AF284" s="13">
        <f>AA284+AB284+AE284</f>
      </c>
      <c r="AG284" s="13">
        <f>I284+J284+L284</f>
      </c>
      <c r="AH284" s="18">
        <f>$H284*I284</f>
      </c>
      <c r="AI284" s="18">
        <f>$H284*J284</f>
      </c>
      <c r="AJ284" s="18">
        <f>$H284*K284</f>
      </c>
      <c r="AK284" s="18">
        <f>$H284*L284</f>
      </c>
      <c r="AL284" s="18">
        <f>$H284*M284</f>
      </c>
      <c r="AM284" s="14"/>
      <c r="AN284" s="14"/>
      <c r="AO284" s="14"/>
    </row>
    <row x14ac:dyDescent="0.25" r="285" customHeight="1" ht="17.25">
      <c r="A285" s="2" t="s">
        <v>637</v>
      </c>
      <c r="B285" s="2" t="s">
        <v>429</v>
      </c>
      <c r="C285" s="2" t="s">
        <v>442</v>
      </c>
      <c r="D285" s="2"/>
      <c r="E285" s="2" t="s">
        <v>52</v>
      </c>
      <c r="F285" s="2" t="s">
        <v>632</v>
      </c>
      <c r="G285" s="2" t="s">
        <v>638</v>
      </c>
      <c r="H285" s="13">
        <f>0.585+0.236</f>
      </c>
      <c r="I285" s="13">
        <f>(1.23*0.585+1.05*0.236)/$H285</f>
      </c>
      <c r="J285" s="13">
        <f>(13.74*0.585+11.52*0.236)/$H285</f>
      </c>
      <c r="K285" s="17">
        <f>(194*0.585+203*0.236)/$H285</f>
      </c>
      <c r="L285" s="13"/>
      <c r="M285" s="13">
        <f>(0.65*0.585+0.43*0.236)/$H285</f>
      </c>
      <c r="N285" s="15"/>
      <c r="O285" s="16"/>
      <c r="P285" s="13"/>
      <c r="Q285" s="13"/>
      <c r="R285" s="17"/>
      <c r="S285" s="13"/>
      <c r="T285" s="17"/>
      <c r="U285" s="13"/>
      <c r="V285" s="16"/>
      <c r="W285" s="13"/>
      <c r="X285" s="13"/>
      <c r="Y285" s="14"/>
      <c r="Z285" s="2"/>
      <c r="AA285" s="13">
        <f>H285*I285/100</f>
      </c>
      <c r="AB285" s="13">
        <f>H285*J285/100</f>
      </c>
      <c r="AC285" s="15">
        <f>H285*K285</f>
      </c>
      <c r="AD285" s="15">
        <f>H285*M285</f>
      </c>
      <c r="AE285" s="13">
        <f>H285*L285/100</f>
      </c>
      <c r="AF285" s="13">
        <f>AA285+AB285+AE285</f>
      </c>
      <c r="AG285" s="13">
        <f>I285+J285+L285</f>
      </c>
      <c r="AH285" s="18">
        <f>$H285*I285</f>
      </c>
      <c r="AI285" s="18">
        <f>$H285*J285</f>
      </c>
      <c r="AJ285" s="18">
        <f>$H285*K285</f>
      </c>
      <c r="AK285" s="18">
        <f>$H285*L285</f>
      </c>
      <c r="AL285" s="18">
        <f>$H285*M285</f>
      </c>
      <c r="AM285" s="14"/>
      <c r="AN285" s="14"/>
      <c r="AO285" s="14"/>
    </row>
    <row x14ac:dyDescent="0.25" r="286" customHeight="1" ht="17.25">
      <c r="A286" s="2" t="s">
        <v>639</v>
      </c>
      <c r="B286" s="2" t="s">
        <v>429</v>
      </c>
      <c r="C286" s="2" t="s">
        <v>50</v>
      </c>
      <c r="D286" s="2"/>
      <c r="E286" s="2" t="s">
        <v>52</v>
      </c>
      <c r="F286" s="2" t="s">
        <v>65</v>
      </c>
      <c r="G286" s="2" t="s">
        <v>66</v>
      </c>
      <c r="H286" s="13">
        <f>17.3+0.77+3.4</f>
      </c>
      <c r="I286" s="13"/>
      <c r="J286" s="13">
        <f>(4.49*17.3+5.6*0.77+7*3.4)/$H286</f>
      </c>
      <c r="K286" s="17">
        <f>(52*17.3+36*0.77+60*3.4)/$H286</f>
      </c>
      <c r="L286" s="13">
        <f>(2.08*17.3+1.2*0.77+2*3.4)/$H286</f>
      </c>
      <c r="M286" s="13"/>
      <c r="N286" s="15"/>
      <c r="O286" s="16"/>
      <c r="P286" s="13"/>
      <c r="Q286" s="13"/>
      <c r="R286" s="17"/>
      <c r="S286" s="13"/>
      <c r="T286" s="17"/>
      <c r="U286" s="13"/>
      <c r="V286" s="16"/>
      <c r="W286" s="13"/>
      <c r="X286" s="13"/>
      <c r="Y286" s="14"/>
      <c r="Z286" s="2"/>
      <c r="AA286" s="13">
        <f>H286*I286/100</f>
      </c>
      <c r="AB286" s="13">
        <f>H286*J286/100</f>
      </c>
      <c r="AC286" s="15">
        <f>H286*K286</f>
      </c>
      <c r="AD286" s="15">
        <f>H286*M286</f>
      </c>
      <c r="AE286" s="13">
        <f>H286*L286/100</f>
      </c>
      <c r="AF286" s="13">
        <f>AA286+AB286+AE286</f>
      </c>
      <c r="AG286" s="13">
        <f>I286+J286+L286</f>
      </c>
      <c r="AH286" s="18">
        <f>$H286*I286</f>
      </c>
      <c r="AI286" s="18">
        <f>$H286*J286</f>
      </c>
      <c r="AJ286" s="18">
        <f>$H286*K286</f>
      </c>
      <c r="AK286" s="18">
        <f>$H286*L286</f>
      </c>
      <c r="AL286" s="18">
        <f>$H286*M286</f>
      </c>
      <c r="AM286" s="14"/>
      <c r="AN286" s="14"/>
      <c r="AO286" s="14"/>
    </row>
    <row x14ac:dyDescent="0.25" r="287" customHeight="1" ht="17.25">
      <c r="A287" s="2" t="s">
        <v>640</v>
      </c>
      <c r="B287" s="2" t="s">
        <v>429</v>
      </c>
      <c r="C287" s="2" t="s">
        <v>68</v>
      </c>
      <c r="D287" s="2" t="s">
        <v>641</v>
      </c>
      <c r="E287" s="2" t="s">
        <v>52</v>
      </c>
      <c r="F287" s="2" t="s">
        <v>642</v>
      </c>
      <c r="G287" s="2" t="s">
        <v>643</v>
      </c>
      <c r="H287" s="13">
        <f>321.8+317.8</f>
      </c>
      <c r="I287" s="16">
        <f>(0.0236*321.8+0.0237*317.8)/$H287</f>
      </c>
      <c r="J287" s="13"/>
      <c r="K287" s="15">
        <f>(4.8*321.8+4.6*317.8)/$H287</f>
      </c>
      <c r="L287" s="13"/>
      <c r="M287" s="13"/>
      <c r="N287" s="15"/>
      <c r="O287" s="16"/>
      <c r="P287" s="13"/>
      <c r="Q287" s="13"/>
      <c r="R287" s="17"/>
      <c r="S287" s="16">
        <f>(0.071*321.8+0.041*317.8)/$H287</f>
      </c>
      <c r="T287" s="17"/>
      <c r="U287" s="13"/>
      <c r="V287" s="16"/>
      <c r="W287" s="13"/>
      <c r="X287" s="13"/>
      <c r="Y287" s="14"/>
      <c r="Z287" s="2"/>
      <c r="AA287" s="13">
        <f>H287*I287/100</f>
      </c>
      <c r="AB287" s="13">
        <f>H287*J287/100</f>
      </c>
      <c r="AC287" s="15">
        <f>H287*K287</f>
      </c>
      <c r="AD287" s="15">
        <f>H287*M287</f>
      </c>
      <c r="AE287" s="13">
        <f>H287*L287/100</f>
      </c>
      <c r="AF287" s="13">
        <f>AA287+AB287+AE287</f>
      </c>
      <c r="AG287" s="13">
        <f>I287+J287+L287</f>
      </c>
      <c r="AH287" s="18">
        <f>$H287*I287</f>
      </c>
      <c r="AI287" s="18">
        <f>$H287*J287</f>
      </c>
      <c r="AJ287" s="18">
        <f>$H287*K287</f>
      </c>
      <c r="AK287" s="18">
        <f>$H287*L287</f>
      </c>
      <c r="AL287" s="18">
        <f>$H287*M287</f>
      </c>
      <c r="AM287" s="14"/>
      <c r="AN287" s="14"/>
      <c r="AO287" s="14"/>
    </row>
    <row x14ac:dyDescent="0.25" r="288" customHeight="1" ht="17.25">
      <c r="A288" s="2" t="s">
        <v>644</v>
      </c>
      <c r="B288" s="2" t="s">
        <v>429</v>
      </c>
      <c r="C288" s="2" t="s">
        <v>68</v>
      </c>
      <c r="D288" s="2" t="s">
        <v>641</v>
      </c>
      <c r="E288" s="12" t="s">
        <v>42</v>
      </c>
      <c r="F288" s="2" t="s">
        <v>43</v>
      </c>
      <c r="G288" s="2" t="s">
        <v>440</v>
      </c>
      <c r="H288" s="16">
        <v>0.786285</v>
      </c>
      <c r="I288" s="13">
        <v>0.42</v>
      </c>
      <c r="J288" s="13">
        <v>0.5</v>
      </c>
      <c r="K288" s="13">
        <v>311.9</v>
      </c>
      <c r="L288" s="13"/>
      <c r="M288" s="13"/>
      <c r="N288" s="15"/>
      <c r="O288" s="16"/>
      <c r="P288" s="13"/>
      <c r="Q288" s="13"/>
      <c r="R288" s="17"/>
      <c r="S288" s="13"/>
      <c r="T288" s="17"/>
      <c r="U288" s="13"/>
      <c r="V288" s="16"/>
      <c r="W288" s="13"/>
      <c r="X288" s="13"/>
      <c r="Y288" s="14"/>
      <c r="Z288" s="2"/>
      <c r="AA288" s="13">
        <f>H288*I288/100</f>
      </c>
      <c r="AB288" s="13">
        <f>H288*J288/100</f>
      </c>
      <c r="AC288" s="15">
        <f>H288*K288</f>
      </c>
      <c r="AD288" s="15">
        <f>H288*M288</f>
      </c>
      <c r="AE288" s="13">
        <f>H288*L288/100</f>
      </c>
      <c r="AF288" s="13">
        <f>AA288+AB288+AE288</f>
      </c>
      <c r="AG288" s="13">
        <f>I288+J288+L288</f>
      </c>
      <c r="AH288" s="18">
        <f>$H288*I288</f>
      </c>
      <c r="AI288" s="18">
        <f>$H288*J288</f>
      </c>
      <c r="AJ288" s="18">
        <f>$H288*K288</f>
      </c>
      <c r="AK288" s="18">
        <f>$H288*L288</f>
      </c>
      <c r="AL288" s="18">
        <f>$H288*M288</f>
      </c>
      <c r="AM288" s="14"/>
      <c r="AN288" s="14"/>
      <c r="AO288" s="14"/>
    </row>
    <row x14ac:dyDescent="0.25" r="289" customHeight="1" ht="17.25">
      <c r="A289" s="2" t="s">
        <v>645</v>
      </c>
      <c r="B289" s="2" t="s">
        <v>429</v>
      </c>
      <c r="C289" s="2" t="s">
        <v>68</v>
      </c>
      <c r="D289" s="2" t="s">
        <v>641</v>
      </c>
      <c r="E289" s="12" t="s">
        <v>42</v>
      </c>
      <c r="F289" s="2" t="s">
        <v>43</v>
      </c>
      <c r="G289" s="2" t="s">
        <v>440</v>
      </c>
      <c r="H289" s="16">
        <v>0.485324</v>
      </c>
      <c r="I289" s="13">
        <v>0.59</v>
      </c>
      <c r="J289" s="13">
        <v>0.12</v>
      </c>
      <c r="K289" s="14">
        <v>336</v>
      </c>
      <c r="L289" s="13"/>
      <c r="M289" s="13"/>
      <c r="N289" s="15"/>
      <c r="O289" s="16"/>
      <c r="P289" s="13"/>
      <c r="Q289" s="13"/>
      <c r="R289" s="17"/>
      <c r="S289" s="13"/>
      <c r="T289" s="17"/>
      <c r="U289" s="13"/>
      <c r="V289" s="16"/>
      <c r="W289" s="13"/>
      <c r="X289" s="13"/>
      <c r="Y289" s="14"/>
      <c r="Z289" s="2"/>
      <c r="AA289" s="13">
        <f>H289*I289/100</f>
      </c>
      <c r="AB289" s="13">
        <f>H289*J289/100</f>
      </c>
      <c r="AC289" s="15">
        <f>H289*K289</f>
      </c>
      <c r="AD289" s="15">
        <f>H289*M289</f>
      </c>
      <c r="AE289" s="13">
        <f>H289*L289/100</f>
      </c>
      <c r="AF289" s="13">
        <f>AA289+AB289+AE289</f>
      </c>
      <c r="AG289" s="13">
        <f>I289+J289+L289</f>
      </c>
      <c r="AH289" s="18">
        <f>$H289*I289</f>
      </c>
      <c r="AI289" s="18">
        <f>$H289*J289</f>
      </c>
      <c r="AJ289" s="18">
        <f>$H289*K289</f>
      </c>
      <c r="AK289" s="18">
        <f>$H289*L289</f>
      </c>
      <c r="AL289" s="18">
        <f>$H289*M289</f>
      </c>
      <c r="AM289" s="14"/>
      <c r="AN289" s="14"/>
      <c r="AO289" s="14"/>
    </row>
    <row x14ac:dyDescent="0.25" r="290" customHeight="1" ht="17.25">
      <c r="A290" s="2" t="s">
        <v>646</v>
      </c>
      <c r="B290" s="2" t="s">
        <v>429</v>
      </c>
      <c r="C290" s="2" t="s">
        <v>56</v>
      </c>
      <c r="D290" s="2" t="s">
        <v>75</v>
      </c>
      <c r="E290" s="2" t="s">
        <v>52</v>
      </c>
      <c r="F290" s="2" t="s">
        <v>647</v>
      </c>
      <c r="G290" s="2" t="s">
        <v>648</v>
      </c>
      <c r="H290" s="13">
        <v>9.06</v>
      </c>
      <c r="I290" s="13">
        <v>0.69</v>
      </c>
      <c r="J290" s="13">
        <v>0.84</v>
      </c>
      <c r="K290" s="13">
        <v>84.78</v>
      </c>
      <c r="L290" s="13">
        <v>0.09</v>
      </c>
      <c r="M290" s="13">
        <v>3.54</v>
      </c>
      <c r="N290" s="15"/>
      <c r="O290" s="16"/>
      <c r="P290" s="13"/>
      <c r="Q290" s="13"/>
      <c r="R290" s="17"/>
      <c r="S290" s="13"/>
      <c r="T290" s="17"/>
      <c r="U290" s="13"/>
      <c r="V290" s="16"/>
      <c r="W290" s="13"/>
      <c r="X290" s="13"/>
      <c r="Y290" s="14"/>
      <c r="Z290" s="2"/>
      <c r="AA290" s="13">
        <f>H290*I290/100</f>
      </c>
      <c r="AB290" s="13">
        <f>H290*J290/100</f>
      </c>
      <c r="AC290" s="15">
        <f>H290*K290</f>
      </c>
      <c r="AD290" s="15">
        <f>H290*M290</f>
      </c>
      <c r="AE290" s="13">
        <f>H290*L290/100</f>
      </c>
      <c r="AF290" s="13">
        <f>AA290+AB290+AE290</f>
      </c>
      <c r="AG290" s="13">
        <f>I290+J290+L290</f>
      </c>
      <c r="AH290" s="18">
        <f>$H290*I290</f>
      </c>
      <c r="AI290" s="18">
        <f>$H290*J290</f>
      </c>
      <c r="AJ290" s="18">
        <f>$H290*K290</f>
      </c>
      <c r="AK290" s="18">
        <f>$H290*L290</f>
      </c>
      <c r="AL290" s="18">
        <f>$H290*M290</f>
      </c>
      <c r="AM290" s="14"/>
      <c r="AN290" s="14"/>
      <c r="AO290" s="14"/>
    </row>
    <row x14ac:dyDescent="0.25" r="291" customHeight="1" ht="17.25">
      <c r="A291" s="2" t="s">
        <v>649</v>
      </c>
      <c r="B291" s="2" t="s">
        <v>429</v>
      </c>
      <c r="C291" s="2" t="s">
        <v>189</v>
      </c>
      <c r="D291" s="2"/>
      <c r="E291" s="12" t="s">
        <v>42</v>
      </c>
      <c r="F291" s="2" t="s">
        <v>43</v>
      </c>
      <c r="G291" s="2" t="s">
        <v>440</v>
      </c>
      <c r="H291" s="16">
        <v>0.017935</v>
      </c>
      <c r="I291" s="13">
        <v>8.2</v>
      </c>
      <c r="J291" s="14">
        <v>8</v>
      </c>
      <c r="K291" s="14">
        <v>240</v>
      </c>
      <c r="L291" s="13"/>
      <c r="M291" s="13">
        <v>9.26</v>
      </c>
      <c r="N291" s="15"/>
      <c r="O291" s="16"/>
      <c r="P291" s="13"/>
      <c r="Q291" s="13"/>
      <c r="R291" s="17"/>
      <c r="S291" s="13"/>
      <c r="T291" s="17"/>
      <c r="U291" s="13"/>
      <c r="V291" s="16"/>
      <c r="W291" s="13"/>
      <c r="X291" s="13"/>
      <c r="Y291" s="14"/>
      <c r="Z291" s="2"/>
      <c r="AA291" s="13">
        <f>H291*I291/100</f>
      </c>
      <c r="AB291" s="13">
        <f>H291*J291/100</f>
      </c>
      <c r="AC291" s="15">
        <f>H291*K291</f>
      </c>
      <c r="AD291" s="15">
        <f>H291*M291</f>
      </c>
      <c r="AE291" s="13">
        <f>H291*L291/100</f>
      </c>
      <c r="AF291" s="13">
        <f>AA291+AB291+AE291</f>
      </c>
      <c r="AG291" s="13">
        <f>I291+J291+L291</f>
      </c>
      <c r="AH291" s="18">
        <f>$H291*I291</f>
      </c>
      <c r="AI291" s="18">
        <f>$H291*J291</f>
      </c>
      <c r="AJ291" s="18">
        <f>$H291*K291</f>
      </c>
      <c r="AK291" s="18">
        <f>$H291*L291</f>
      </c>
      <c r="AL291" s="18">
        <f>$H291*M291</f>
      </c>
      <c r="AM291" s="14"/>
      <c r="AN291" s="14"/>
      <c r="AO291" s="14"/>
    </row>
    <row x14ac:dyDescent="0.25" r="292" customHeight="1" ht="17.25">
      <c r="A292" s="2" t="s">
        <v>650</v>
      </c>
      <c r="B292" s="2" t="s">
        <v>429</v>
      </c>
      <c r="C292" s="2" t="s">
        <v>40</v>
      </c>
      <c r="D292" s="2" t="s">
        <v>64</v>
      </c>
      <c r="E292" s="12" t="s">
        <v>42</v>
      </c>
      <c r="F292" s="2" t="s">
        <v>43</v>
      </c>
      <c r="G292" s="2" t="s">
        <v>46</v>
      </c>
      <c r="H292" s="13">
        <v>0.01</v>
      </c>
      <c r="I292" s="13">
        <v>5.36</v>
      </c>
      <c r="J292" s="13">
        <v>15.6</v>
      </c>
      <c r="K292" s="13">
        <v>66.5</v>
      </c>
      <c r="L292" s="13"/>
      <c r="M292" s="13"/>
      <c r="N292" s="15"/>
      <c r="O292" s="16"/>
      <c r="P292" s="13"/>
      <c r="Q292" s="13"/>
      <c r="R292" s="17"/>
      <c r="S292" s="13"/>
      <c r="T292" s="17"/>
      <c r="U292" s="13"/>
      <c r="V292" s="16"/>
      <c r="W292" s="13"/>
      <c r="X292" s="13"/>
      <c r="Y292" s="14"/>
      <c r="Z292" s="2"/>
      <c r="AA292" s="13">
        <f>H292*I292/100</f>
      </c>
      <c r="AB292" s="13">
        <f>H292*J292/100</f>
      </c>
      <c r="AC292" s="15">
        <f>H292*K292</f>
      </c>
      <c r="AD292" s="15">
        <f>H292*M292</f>
      </c>
      <c r="AE292" s="13">
        <f>H292*L292/100</f>
      </c>
      <c r="AF292" s="13">
        <f>AA292+AB292+AE292</f>
      </c>
      <c r="AG292" s="13">
        <f>I292+J292+L292</f>
      </c>
      <c r="AH292" s="18">
        <f>$H292*I292</f>
      </c>
      <c r="AI292" s="18">
        <f>$H292*J292</f>
      </c>
      <c r="AJ292" s="18">
        <f>$H292*K292</f>
      </c>
      <c r="AK292" s="18">
        <f>$H292*L292</f>
      </c>
      <c r="AL292" s="18">
        <f>$H292*M292</f>
      </c>
      <c r="AM292" s="14"/>
      <c r="AN292" s="14"/>
      <c r="AO292" s="14"/>
    </row>
    <row x14ac:dyDescent="0.25" r="293" customHeight="1" ht="17.25">
      <c r="A293" s="2" t="s">
        <v>651</v>
      </c>
      <c r="B293" s="2" t="s">
        <v>429</v>
      </c>
      <c r="C293" s="2" t="s">
        <v>50</v>
      </c>
      <c r="D293" s="2"/>
      <c r="E293" s="2" t="s">
        <v>52</v>
      </c>
      <c r="F293" s="2" t="s">
        <v>531</v>
      </c>
      <c r="G293" s="2" t="s">
        <v>652</v>
      </c>
      <c r="H293" s="13">
        <f>11.3+1.5</f>
      </c>
      <c r="I293" s="15">
        <f>(1.5*11.3+3.1*1.5)/$H293</f>
      </c>
      <c r="J293" s="15">
        <f>(5.9*11.3+6.4*1.5)/$H293</f>
      </c>
      <c r="K293" s="14">
        <v>138</v>
      </c>
      <c r="L293" s="13">
        <f>(0.9*11.3+0.14*1.5)/$H293</f>
      </c>
      <c r="M293" s="13">
        <f>(1.3*11.3+2*1.5)/$H293</f>
      </c>
      <c r="N293" s="15"/>
      <c r="O293" s="16"/>
      <c r="P293" s="13"/>
      <c r="Q293" s="13"/>
      <c r="R293" s="17"/>
      <c r="S293" s="13"/>
      <c r="T293" s="17"/>
      <c r="U293" s="13"/>
      <c r="V293" s="16"/>
      <c r="W293" s="13"/>
      <c r="X293" s="13"/>
      <c r="Y293" s="14"/>
      <c r="Z293" s="2"/>
      <c r="AA293" s="13">
        <f>H293*I293/100</f>
      </c>
      <c r="AB293" s="13">
        <f>H293*J293/100</f>
      </c>
      <c r="AC293" s="15">
        <f>H293*K293</f>
      </c>
      <c r="AD293" s="15">
        <f>H293*M293</f>
      </c>
      <c r="AE293" s="13">
        <f>H293*L293/100</f>
      </c>
      <c r="AF293" s="13">
        <f>AA293+AB293+AE293</f>
      </c>
      <c r="AG293" s="13">
        <f>I293+J293+L293</f>
      </c>
      <c r="AH293" s="18">
        <f>$H293*I293</f>
      </c>
      <c r="AI293" s="18">
        <f>$H293*J293</f>
      </c>
      <c r="AJ293" s="18">
        <f>$H293*K293</f>
      </c>
      <c r="AK293" s="18">
        <f>$H293*L293</f>
      </c>
      <c r="AL293" s="18">
        <f>$H293*M293</f>
      </c>
      <c r="AM293" s="14"/>
      <c r="AN293" s="14"/>
      <c r="AO293" s="14"/>
    </row>
    <row x14ac:dyDescent="0.25" r="294" customHeight="1" ht="17.25">
      <c r="A294" s="2" t="s">
        <v>653</v>
      </c>
      <c r="B294" s="2" t="s">
        <v>429</v>
      </c>
      <c r="C294" s="2" t="s">
        <v>50</v>
      </c>
      <c r="D294" s="2"/>
      <c r="E294" s="2" t="s">
        <v>52</v>
      </c>
      <c r="F294" s="2" t="s">
        <v>654</v>
      </c>
      <c r="G294" s="2" t="s">
        <v>584</v>
      </c>
      <c r="H294" s="13">
        <f>5.421+5.859+1.09</f>
      </c>
      <c r="I294" s="13"/>
      <c r="J294" s="13">
        <f>(2.86*5.421+3.67*5.859+2.04*1.09)/$H294</f>
      </c>
      <c r="K294" s="15">
        <f>(31.4*5.421+41.6*5.859+30.7*1.09)/$H294</f>
      </c>
      <c r="L294" s="13">
        <f>(2.15*5.421+2.24*5.859+1.74*1.09)/$H294</f>
      </c>
      <c r="M294" s="13">
        <f>(0.34*5.421+0.45*5.859+0.35*1.09)/$H294</f>
      </c>
      <c r="N294" s="15"/>
      <c r="O294" s="16"/>
      <c r="P294" s="13"/>
      <c r="Q294" s="13"/>
      <c r="R294" s="17"/>
      <c r="S294" s="13"/>
      <c r="T294" s="17"/>
      <c r="U294" s="13"/>
      <c r="V294" s="16"/>
      <c r="W294" s="13"/>
      <c r="X294" s="13"/>
      <c r="Y294" s="14"/>
      <c r="Z294" s="2"/>
      <c r="AA294" s="13">
        <f>H294*I294/100</f>
      </c>
      <c r="AB294" s="13">
        <f>H294*J294/100</f>
      </c>
      <c r="AC294" s="15">
        <f>H294*K294</f>
      </c>
      <c r="AD294" s="15">
        <f>H294*M294</f>
      </c>
      <c r="AE294" s="13">
        <f>H294*L294/100</f>
      </c>
      <c r="AF294" s="13">
        <f>AA294+AB294+AE294</f>
      </c>
      <c r="AG294" s="13">
        <f>I294+J294+L294</f>
      </c>
      <c r="AH294" s="18">
        <f>$H294*I294</f>
      </c>
      <c r="AI294" s="18">
        <f>$H294*J294</f>
      </c>
      <c r="AJ294" s="18">
        <f>$H294*K294</f>
      </c>
      <c r="AK294" s="18">
        <f>$H294*L294</f>
      </c>
      <c r="AL294" s="18">
        <f>$H294*M294</f>
      </c>
      <c r="AM294" s="14"/>
      <c r="AN294" s="14"/>
      <c r="AO294" s="14"/>
    </row>
    <row x14ac:dyDescent="0.25" r="295" customHeight="1" ht="17.25">
      <c r="A295" s="2" t="s">
        <v>655</v>
      </c>
      <c r="B295" s="2" t="s">
        <v>429</v>
      </c>
      <c r="C295" s="2" t="s">
        <v>50</v>
      </c>
      <c r="D295" s="2"/>
      <c r="E295" s="2" t="s">
        <v>52</v>
      </c>
      <c r="F295" s="2" t="s">
        <v>656</v>
      </c>
      <c r="G295" s="2" t="s">
        <v>66</v>
      </c>
      <c r="H295" s="13">
        <f>5.978+18.149+4.242+10.536</f>
      </c>
      <c r="I295" s="13">
        <f>(0.07*5.978+0.03*18.149+0.16*4.242+0.05*10.536)/$H295</f>
      </c>
      <c r="J295" s="13">
        <f>(0.6*5.978+0.69*18.149+1.61*4.242+0.55*10.536)/$H295</f>
      </c>
      <c r="K295" s="15">
        <f>(23.27*5.978+18.37*18.149+32.53*4.242+14.72*10.536)/$H295</f>
      </c>
      <c r="L295" s="13">
        <f>(0.31*5.978+0.23*18.149+0.16*4.242+0.27*10.536)/$H295</f>
      </c>
      <c r="M295" s="13">
        <f>(3.48*5.978+5.5*18.149+2.12*4.242+4.61*10.536)/$H295</f>
      </c>
      <c r="N295" s="15"/>
      <c r="O295" s="16"/>
      <c r="P295" s="13"/>
      <c r="Q295" s="13"/>
      <c r="R295" s="17"/>
      <c r="S295" s="13"/>
      <c r="T295" s="17"/>
      <c r="U295" s="13"/>
      <c r="V295" s="16"/>
      <c r="W295" s="13"/>
      <c r="X295" s="13"/>
      <c r="Y295" s="14"/>
      <c r="Z295" s="2"/>
      <c r="AA295" s="13">
        <f>H295*I295/100</f>
      </c>
      <c r="AB295" s="13">
        <f>H295*J295/100</f>
      </c>
      <c r="AC295" s="15">
        <f>H295*K295</f>
      </c>
      <c r="AD295" s="15">
        <f>H295*M295</f>
      </c>
      <c r="AE295" s="13">
        <f>H295*L295/100</f>
      </c>
      <c r="AF295" s="13">
        <f>AA295+AB295+AE295</f>
      </c>
      <c r="AG295" s="13">
        <f>I295+J295+L295</f>
      </c>
      <c r="AH295" s="18">
        <f>$H295*I295</f>
      </c>
      <c r="AI295" s="18">
        <f>$H295*J295</f>
      </c>
      <c r="AJ295" s="18">
        <f>$H295*K295</f>
      </c>
      <c r="AK295" s="18">
        <f>$H295*L295</f>
      </c>
      <c r="AL295" s="18">
        <f>$H295*M295</f>
      </c>
      <c r="AM295" s="14"/>
      <c r="AN295" s="14"/>
      <c r="AO295" s="14"/>
    </row>
    <row x14ac:dyDescent="0.25" r="296" customHeight="1" ht="17.25">
      <c r="A296" s="2" t="s">
        <v>657</v>
      </c>
      <c r="B296" s="2" t="s">
        <v>429</v>
      </c>
      <c r="C296" s="2" t="s">
        <v>40</v>
      </c>
      <c r="D296" s="2" t="s">
        <v>64</v>
      </c>
      <c r="E296" s="12" t="s">
        <v>42</v>
      </c>
      <c r="F296" s="2" t="s">
        <v>43</v>
      </c>
      <c r="G296" s="2" t="s">
        <v>463</v>
      </c>
      <c r="H296" s="13">
        <v>0.03</v>
      </c>
      <c r="I296" s="13"/>
      <c r="J296" s="13">
        <v>12.03</v>
      </c>
      <c r="K296" s="14"/>
      <c r="L296" s="13"/>
      <c r="M296" s="13"/>
      <c r="N296" s="15"/>
      <c r="O296" s="16"/>
      <c r="P296" s="13"/>
      <c r="Q296" s="13"/>
      <c r="R296" s="17"/>
      <c r="S296" s="13"/>
      <c r="T296" s="17"/>
      <c r="U296" s="13"/>
      <c r="V296" s="16"/>
      <c r="W296" s="13"/>
      <c r="X296" s="13"/>
      <c r="Y296" s="14"/>
      <c r="Z296" s="2"/>
      <c r="AA296" s="13">
        <f>H296*I296/100</f>
      </c>
      <c r="AB296" s="13">
        <f>H296*J296/100</f>
      </c>
      <c r="AC296" s="15">
        <f>H296*K296</f>
      </c>
      <c r="AD296" s="15">
        <f>H296*M296</f>
      </c>
      <c r="AE296" s="13">
        <f>H296*L296/100</f>
      </c>
      <c r="AF296" s="13">
        <f>AA296+AB296+AE296</f>
      </c>
      <c r="AG296" s="13">
        <f>I296+J296+L296</f>
      </c>
      <c r="AH296" s="18">
        <f>$H296*I296</f>
      </c>
      <c r="AI296" s="18">
        <f>$H296*J296</f>
      </c>
      <c r="AJ296" s="18">
        <f>$H296*K296</f>
      </c>
      <c r="AK296" s="18">
        <f>$H296*L296</f>
      </c>
      <c r="AL296" s="18">
        <f>$H296*M296</f>
      </c>
      <c r="AM296" s="14"/>
      <c r="AN296" s="14"/>
      <c r="AO296" s="14"/>
    </row>
    <row x14ac:dyDescent="0.25" r="297" customHeight="1" ht="17.25">
      <c r="A297" s="2" t="s">
        <v>658</v>
      </c>
      <c r="B297" s="2" t="s">
        <v>429</v>
      </c>
      <c r="C297" s="2" t="s">
        <v>50</v>
      </c>
      <c r="D297" s="2"/>
      <c r="E297" s="2" t="s">
        <v>52</v>
      </c>
      <c r="F297" s="2" t="s">
        <v>659</v>
      </c>
      <c r="G297" s="2" t="s">
        <v>66</v>
      </c>
      <c r="H297" s="13">
        <f>2.54+2.31+0.86</f>
      </c>
      <c r="I297" s="13">
        <f>(0.24*2.54+0.26*2.31+0.19*0.86)/$H297</f>
      </c>
      <c r="J297" s="13">
        <f>(10.71*2.54+9.93*2.31+7.19*0.86)/$H297</f>
      </c>
      <c r="K297" s="15">
        <f>(51.65*2.54+51.74*2.31+43.12*0.86)/$H297</f>
      </c>
      <c r="L297" s="13">
        <f>(0.66*2.54+0.66*2.31+0.38*0.86)/$H297</f>
      </c>
      <c r="M297" s="13">
        <f>(0.04*2.54+0.1*2.31+0.07*0.86)/$H297</f>
      </c>
      <c r="N297" s="15"/>
      <c r="O297" s="16"/>
      <c r="P297" s="13"/>
      <c r="Q297" s="13"/>
      <c r="R297" s="17"/>
      <c r="S297" s="13"/>
      <c r="T297" s="17"/>
      <c r="U297" s="13"/>
      <c r="V297" s="16"/>
      <c r="W297" s="13"/>
      <c r="X297" s="13"/>
      <c r="Y297" s="14"/>
      <c r="Z297" s="2"/>
      <c r="AA297" s="13">
        <f>H297*I297/100</f>
      </c>
      <c r="AB297" s="13">
        <f>H297*J297/100</f>
      </c>
      <c r="AC297" s="15">
        <f>H297*K297</f>
      </c>
      <c r="AD297" s="15">
        <f>H297*M297</f>
      </c>
      <c r="AE297" s="13">
        <f>H297*L297/100</f>
      </c>
      <c r="AF297" s="13">
        <f>AA297+AB297+AE297</f>
      </c>
      <c r="AG297" s="13">
        <f>I297+J297+L297</f>
      </c>
      <c r="AH297" s="18">
        <f>$H297*I297</f>
      </c>
      <c r="AI297" s="18">
        <f>$H297*J297</f>
      </c>
      <c r="AJ297" s="18">
        <f>$H297*K297</f>
      </c>
      <c r="AK297" s="18">
        <f>$H297*L297</f>
      </c>
      <c r="AL297" s="18">
        <f>$H297*M297</f>
      </c>
      <c r="AM297" s="14"/>
      <c r="AN297" s="14"/>
      <c r="AO297" s="14"/>
    </row>
    <row x14ac:dyDescent="0.25" r="298" customHeight="1" ht="17.25">
      <c r="A298" s="2" t="s">
        <v>660</v>
      </c>
      <c r="B298" s="2" t="s">
        <v>429</v>
      </c>
      <c r="C298" s="2" t="s">
        <v>50</v>
      </c>
      <c r="D298" s="2"/>
      <c r="E298" s="2" t="s">
        <v>52</v>
      </c>
      <c r="F298" s="2" t="s">
        <v>661</v>
      </c>
      <c r="G298" s="2" t="s">
        <v>617</v>
      </c>
      <c r="H298" s="16">
        <f>1.1467+0.6696</f>
      </c>
      <c r="I298" s="13">
        <f>(0.58*1.1467+0.44*0.6696)/$H298</f>
      </c>
      <c r="J298" s="13">
        <f>(3.01*1.1467+2.26*0.6696)/$H298</f>
      </c>
      <c r="K298" s="15">
        <f>(32.97*1.1467+32.99*0.6696)/$H298</f>
      </c>
      <c r="L298" s="13">
        <f>(1.05*1.1467+0.9*0.6696)/$H298</f>
      </c>
      <c r="M298" s="13">
        <f>(1.97*1.1467+1.9*0.6696)/$H298</f>
      </c>
      <c r="N298" s="15"/>
      <c r="O298" s="16"/>
      <c r="P298" s="13"/>
      <c r="Q298" s="13"/>
      <c r="R298" s="17"/>
      <c r="S298" s="13"/>
      <c r="T298" s="17"/>
      <c r="U298" s="13"/>
      <c r="V298" s="16"/>
      <c r="W298" s="13"/>
      <c r="X298" s="13"/>
      <c r="Y298" s="14"/>
      <c r="Z298" s="2"/>
      <c r="AA298" s="13">
        <f>H298*I298/100</f>
      </c>
      <c r="AB298" s="13">
        <f>H298*J298/100</f>
      </c>
      <c r="AC298" s="15">
        <f>H298*K298</f>
      </c>
      <c r="AD298" s="15">
        <f>H298*M298</f>
      </c>
      <c r="AE298" s="13">
        <f>H298*L298/100</f>
      </c>
      <c r="AF298" s="13">
        <f>AA298+AB298+AE298</f>
      </c>
      <c r="AG298" s="13">
        <f>I298+J298+L298</f>
      </c>
      <c r="AH298" s="18">
        <f>$H298*I298</f>
      </c>
      <c r="AI298" s="18">
        <f>$H298*J298</f>
      </c>
      <c r="AJ298" s="18">
        <f>$H298*K298</f>
      </c>
      <c r="AK298" s="18">
        <f>$H298*L298</f>
      </c>
      <c r="AL298" s="18">
        <f>$H298*M298</f>
      </c>
      <c r="AM298" s="14"/>
      <c r="AN298" s="14"/>
      <c r="AO298" s="14"/>
    </row>
    <row x14ac:dyDescent="0.25" r="299" customHeight="1" ht="17.25">
      <c r="A299" s="2" t="s">
        <v>662</v>
      </c>
      <c r="B299" s="2" t="s">
        <v>429</v>
      </c>
      <c r="C299" s="2" t="s">
        <v>40</v>
      </c>
      <c r="D299" s="2" t="s">
        <v>64</v>
      </c>
      <c r="E299" s="12" t="s">
        <v>42</v>
      </c>
      <c r="F299" s="2" t="s">
        <v>43</v>
      </c>
      <c r="G299" s="2" t="s">
        <v>485</v>
      </c>
      <c r="H299" s="13">
        <v>0.127</v>
      </c>
      <c r="I299" s="13"/>
      <c r="J299" s="15">
        <v>8</v>
      </c>
      <c r="K299" s="14"/>
      <c r="L299" s="13"/>
      <c r="M299" s="13"/>
      <c r="N299" s="15"/>
      <c r="O299" s="16"/>
      <c r="P299" s="13"/>
      <c r="Q299" s="13"/>
      <c r="R299" s="17"/>
      <c r="S299" s="13"/>
      <c r="T299" s="17"/>
      <c r="U299" s="13"/>
      <c r="V299" s="16"/>
      <c r="W299" s="13"/>
      <c r="X299" s="13"/>
      <c r="Y299" s="14"/>
      <c r="Z299" s="2"/>
      <c r="AA299" s="13">
        <f>H299*I299/100</f>
      </c>
      <c r="AB299" s="13">
        <f>H299*J299/100</f>
      </c>
      <c r="AC299" s="15">
        <f>H299*K299</f>
      </c>
      <c r="AD299" s="15">
        <f>H299*M299</f>
      </c>
      <c r="AE299" s="13">
        <f>H299*L299/100</f>
      </c>
      <c r="AF299" s="13">
        <f>AA299+AB299+AE299</f>
      </c>
      <c r="AG299" s="13">
        <f>I299+J299+L299</f>
      </c>
      <c r="AH299" s="18">
        <f>$H299*I299</f>
      </c>
      <c r="AI299" s="18">
        <f>$H299*J299</f>
      </c>
      <c r="AJ299" s="18">
        <f>$H299*K299</f>
      </c>
      <c r="AK299" s="18">
        <f>$H299*L299</f>
      </c>
      <c r="AL299" s="18">
        <f>$H299*M299</f>
      </c>
      <c r="AM299" s="14"/>
      <c r="AN299" s="14"/>
      <c r="AO299" s="14"/>
    </row>
    <row x14ac:dyDescent="0.25" r="300" customHeight="1" ht="17.25">
      <c r="A300" s="2" t="s">
        <v>663</v>
      </c>
      <c r="B300" s="2" t="s">
        <v>429</v>
      </c>
      <c r="C300" s="2" t="s">
        <v>50</v>
      </c>
      <c r="D300" s="2"/>
      <c r="E300" s="2" t="s">
        <v>52</v>
      </c>
      <c r="F300" s="2" t="s">
        <v>473</v>
      </c>
      <c r="G300" s="2" t="s">
        <v>664</v>
      </c>
      <c r="H300" s="13">
        <f>1.52+2.27</f>
      </c>
      <c r="I300" s="13">
        <f>(1.07*1.52+0.74*2.27)/$H300</f>
      </c>
      <c r="J300" s="13">
        <f>(4.87*1.52+3.18*2.27)/$H300</f>
      </c>
      <c r="K300" s="15">
        <f>(51.1*1.52+36.53*2.27)/$H300</f>
      </c>
      <c r="L300" s="13">
        <f>(0.52*1.52+0.36*2.27)/$H300</f>
      </c>
      <c r="M300" s="13">
        <f>(0.92*1.52+0.77*2.27)/$H300</f>
      </c>
      <c r="N300" s="15"/>
      <c r="O300" s="16"/>
      <c r="P300" s="13"/>
      <c r="Q300" s="13"/>
      <c r="R300" s="17"/>
      <c r="S300" s="13"/>
      <c r="T300" s="17"/>
      <c r="U300" s="13"/>
      <c r="V300" s="16"/>
      <c r="W300" s="13"/>
      <c r="X300" s="13"/>
      <c r="Y300" s="14"/>
      <c r="Z300" s="2"/>
      <c r="AA300" s="13">
        <f>H300*I300/100</f>
      </c>
      <c r="AB300" s="13">
        <f>H300*J300/100</f>
      </c>
      <c r="AC300" s="15">
        <f>H300*K300</f>
      </c>
      <c r="AD300" s="15">
        <f>H300*M300</f>
      </c>
      <c r="AE300" s="13">
        <f>H300*L300/100</f>
      </c>
      <c r="AF300" s="13">
        <f>AA300+AB300+AE300</f>
      </c>
      <c r="AG300" s="13">
        <f>I300+J300+L300</f>
      </c>
      <c r="AH300" s="18">
        <f>$H300*I300</f>
      </c>
      <c r="AI300" s="18">
        <f>$H300*J300</f>
      </c>
      <c r="AJ300" s="18">
        <f>$H300*K300</f>
      </c>
      <c r="AK300" s="18">
        <f>$H300*L300</f>
      </c>
      <c r="AL300" s="18">
        <f>$H300*M300</f>
      </c>
      <c r="AM300" s="14"/>
      <c r="AN300" s="14"/>
      <c r="AO300" s="14"/>
    </row>
    <row x14ac:dyDescent="0.25" r="301" customHeight="1" ht="17.25">
      <c r="A301" s="2" t="s">
        <v>665</v>
      </c>
      <c r="B301" s="2" t="s">
        <v>429</v>
      </c>
      <c r="C301" s="2" t="s">
        <v>50</v>
      </c>
      <c r="D301" s="2"/>
      <c r="E301" s="12" t="s">
        <v>42</v>
      </c>
      <c r="F301" s="2" t="s">
        <v>43</v>
      </c>
      <c r="G301" s="2" t="s">
        <v>440</v>
      </c>
      <c r="H301" s="16">
        <v>0.317485</v>
      </c>
      <c r="I301" s="13">
        <v>0.65</v>
      </c>
      <c r="J301" s="13">
        <v>6.6</v>
      </c>
      <c r="K301" s="15">
        <v>140.54</v>
      </c>
      <c r="L301" s="13">
        <v>1.6</v>
      </c>
      <c r="M301" s="13">
        <v>4.11</v>
      </c>
      <c r="N301" s="15"/>
      <c r="O301" s="16"/>
      <c r="P301" s="13"/>
      <c r="Q301" s="13"/>
      <c r="R301" s="17"/>
      <c r="S301" s="13"/>
      <c r="T301" s="17"/>
      <c r="U301" s="13"/>
      <c r="V301" s="16"/>
      <c r="W301" s="13"/>
      <c r="X301" s="13"/>
      <c r="Y301" s="14"/>
      <c r="Z301" s="2"/>
      <c r="AA301" s="13">
        <f>H301*I301/100</f>
      </c>
      <c r="AB301" s="13">
        <f>H301*J301/100</f>
      </c>
      <c r="AC301" s="15">
        <f>H301*K301</f>
      </c>
      <c r="AD301" s="15">
        <f>H301*M301</f>
      </c>
      <c r="AE301" s="13">
        <f>H301*L301/100</f>
      </c>
      <c r="AF301" s="13">
        <f>AA301+AB301+AE301</f>
      </c>
      <c r="AG301" s="13">
        <f>I301+J301+L301</f>
      </c>
      <c r="AH301" s="18">
        <f>$H301*I301</f>
      </c>
      <c r="AI301" s="18">
        <f>$H301*J301</f>
      </c>
      <c r="AJ301" s="18">
        <f>$H301*K301</f>
      </c>
      <c r="AK301" s="18">
        <f>$H301*L301</f>
      </c>
      <c r="AL301" s="18">
        <f>$H301*M301</f>
      </c>
      <c r="AM301" s="14"/>
      <c r="AN301" s="14"/>
      <c r="AO301" s="14"/>
    </row>
    <row x14ac:dyDescent="0.25" r="302" customHeight="1" ht="17.25">
      <c r="A302" s="2" t="s">
        <v>666</v>
      </c>
      <c r="B302" s="2" t="s">
        <v>429</v>
      </c>
      <c r="C302" s="2" t="s">
        <v>50</v>
      </c>
      <c r="D302" s="2"/>
      <c r="E302" s="2" t="s">
        <v>52</v>
      </c>
      <c r="F302" s="2" t="s">
        <v>667</v>
      </c>
      <c r="G302" s="2" t="s">
        <v>549</v>
      </c>
      <c r="H302" s="13">
        <v>0.74</v>
      </c>
      <c r="I302" s="13"/>
      <c r="J302" s="13">
        <v>3.5</v>
      </c>
      <c r="K302" s="13">
        <v>38.62</v>
      </c>
      <c r="L302" s="13">
        <v>1.88</v>
      </c>
      <c r="M302" s="13">
        <v>0.84</v>
      </c>
      <c r="N302" s="15"/>
      <c r="O302" s="16"/>
      <c r="P302" s="13"/>
      <c r="Q302" s="13"/>
      <c r="R302" s="17"/>
      <c r="S302" s="13"/>
      <c r="T302" s="17"/>
      <c r="U302" s="13"/>
      <c r="V302" s="16"/>
      <c r="W302" s="13"/>
      <c r="X302" s="13"/>
      <c r="Y302" s="14"/>
      <c r="Z302" s="2"/>
      <c r="AA302" s="13">
        <f>H302*I302/100</f>
      </c>
      <c r="AB302" s="13">
        <f>H302*J302/100</f>
      </c>
      <c r="AC302" s="15">
        <f>H302*K302</f>
      </c>
      <c r="AD302" s="15">
        <f>H302*M302</f>
      </c>
      <c r="AE302" s="13">
        <f>H302*L302/100</f>
      </c>
      <c r="AF302" s="13">
        <f>AA302+AB302+AE302</f>
      </c>
      <c r="AG302" s="13">
        <f>I302+J302+L302</f>
      </c>
      <c r="AH302" s="18">
        <f>$H302*I302</f>
      </c>
      <c r="AI302" s="18">
        <f>$H302*J302</f>
      </c>
      <c r="AJ302" s="18">
        <f>$H302*K302</f>
      </c>
      <c r="AK302" s="18">
        <f>$H302*L302</f>
      </c>
      <c r="AL302" s="18">
        <f>$H302*M302</f>
      </c>
      <c r="AM302" s="14"/>
      <c r="AN302" s="14"/>
      <c r="AO302" s="14"/>
    </row>
    <row x14ac:dyDescent="0.25" r="303" customHeight="1" ht="17.25">
      <c r="A303" s="2" t="s">
        <v>668</v>
      </c>
      <c r="B303" s="2" t="s">
        <v>429</v>
      </c>
      <c r="C303" s="2" t="s">
        <v>50</v>
      </c>
      <c r="D303" s="2"/>
      <c r="E303" s="12" t="s">
        <v>42</v>
      </c>
      <c r="F303" s="2" t="s">
        <v>669</v>
      </c>
      <c r="G303" s="2" t="s">
        <v>93</v>
      </c>
      <c r="H303" s="13">
        <v>11.8</v>
      </c>
      <c r="I303" s="13"/>
      <c r="J303" s="13">
        <v>0.8</v>
      </c>
      <c r="K303" s="13">
        <v>10.3</v>
      </c>
      <c r="L303" s="13">
        <v>0.3</v>
      </c>
      <c r="M303" s="13">
        <v>0.9</v>
      </c>
      <c r="N303" s="15"/>
      <c r="O303" s="16"/>
      <c r="P303" s="13"/>
      <c r="Q303" s="13"/>
      <c r="R303" s="17"/>
      <c r="S303" s="13"/>
      <c r="T303" s="17"/>
      <c r="U303" s="13"/>
      <c r="V303" s="16"/>
      <c r="W303" s="13"/>
      <c r="X303" s="13"/>
      <c r="Y303" s="14"/>
      <c r="Z303" s="2"/>
      <c r="AA303" s="13">
        <f>H303*I303/100</f>
      </c>
      <c r="AB303" s="13">
        <f>H303*J303/100</f>
      </c>
      <c r="AC303" s="15">
        <f>H303*K303</f>
      </c>
      <c r="AD303" s="15">
        <f>H303*M303</f>
      </c>
      <c r="AE303" s="13">
        <f>H303*L303/100</f>
      </c>
      <c r="AF303" s="13">
        <f>AA303+AB303+AE303</f>
      </c>
      <c r="AG303" s="13">
        <f>I303+J303+L303</f>
      </c>
      <c r="AH303" s="18">
        <f>$H303*I303</f>
      </c>
      <c r="AI303" s="18">
        <f>$H303*J303</f>
      </c>
      <c r="AJ303" s="18">
        <f>$H303*K303</f>
      </c>
      <c r="AK303" s="18">
        <f>$H303*L303</f>
      </c>
      <c r="AL303" s="18">
        <f>$H303*M303</f>
      </c>
      <c r="AM303" s="14"/>
      <c r="AN303" s="14"/>
      <c r="AO303" s="14"/>
    </row>
    <row x14ac:dyDescent="0.25" r="304" customHeight="1" ht="17.25">
      <c r="A304" s="2" t="s">
        <v>670</v>
      </c>
      <c r="B304" s="2" t="s">
        <v>429</v>
      </c>
      <c r="C304" s="2" t="s">
        <v>56</v>
      </c>
      <c r="D304" s="2"/>
      <c r="E304" s="2" t="s">
        <v>52</v>
      </c>
      <c r="F304" s="2" t="s">
        <v>671</v>
      </c>
      <c r="G304" s="2" t="s">
        <v>672</v>
      </c>
      <c r="H304" s="13">
        <v>13.08</v>
      </c>
      <c r="I304" s="13"/>
      <c r="J304" s="13">
        <v>5.1</v>
      </c>
      <c r="K304" s="13">
        <v>23.7</v>
      </c>
      <c r="L304" s="13"/>
      <c r="M304" s="13"/>
      <c r="N304" s="15"/>
      <c r="O304" s="16"/>
      <c r="P304" s="13"/>
      <c r="Q304" s="13"/>
      <c r="R304" s="17"/>
      <c r="S304" s="13"/>
      <c r="T304" s="17"/>
      <c r="U304" s="13"/>
      <c r="V304" s="16"/>
      <c r="W304" s="13"/>
      <c r="X304" s="13"/>
      <c r="Y304" s="14"/>
      <c r="Z304" s="2"/>
      <c r="AA304" s="13">
        <f>H304*I304/100</f>
      </c>
      <c r="AB304" s="13">
        <f>H304*J304/100</f>
      </c>
      <c r="AC304" s="15">
        <f>H304*K304</f>
      </c>
      <c r="AD304" s="15">
        <f>H304*M304</f>
      </c>
      <c r="AE304" s="13">
        <f>H304*L304/100</f>
      </c>
      <c r="AF304" s="13">
        <f>AA304+AB304+AE304</f>
      </c>
      <c r="AG304" s="13">
        <f>I304+J304+L304</f>
      </c>
      <c r="AH304" s="18">
        <f>$H304*I304</f>
      </c>
      <c r="AI304" s="18">
        <f>$H304*J304</f>
      </c>
      <c r="AJ304" s="18">
        <f>$H304*K304</f>
      </c>
      <c r="AK304" s="18">
        <f>$H304*L304</f>
      </c>
      <c r="AL304" s="18">
        <f>$H304*M304</f>
      </c>
      <c r="AM304" s="14"/>
      <c r="AN304" s="14"/>
      <c r="AO304" s="14"/>
    </row>
    <row x14ac:dyDescent="0.25" r="305" customHeight="1" ht="17.25">
      <c r="A305" s="2" t="s">
        <v>673</v>
      </c>
      <c r="B305" s="2" t="s">
        <v>429</v>
      </c>
      <c r="C305" s="2" t="s">
        <v>40</v>
      </c>
      <c r="D305" s="2"/>
      <c r="E305" s="2" t="s">
        <v>52</v>
      </c>
      <c r="F305" s="2" t="s">
        <v>473</v>
      </c>
      <c r="G305" s="2" t="s">
        <v>664</v>
      </c>
      <c r="H305" s="13">
        <f>0.407+0.078</f>
      </c>
      <c r="I305" s="13">
        <f>(1.58*0.407+1.24*0.078)/$H305</f>
      </c>
      <c r="J305" s="13">
        <f>(7.82*0.407+5.77*0.078)/$H305</f>
      </c>
      <c r="K305" s="17">
        <f>(49*0.407+34*0.078)/$H305</f>
      </c>
      <c r="L305" s="13">
        <f>(0.97*0.407+0.7*0.078)/$H305</f>
      </c>
      <c r="M305" s="13">
        <f>(0.57*0.407+0.48*0.078)/$H305</f>
      </c>
      <c r="N305" s="15"/>
      <c r="O305" s="16"/>
      <c r="P305" s="13"/>
      <c r="Q305" s="13"/>
      <c r="R305" s="17"/>
      <c r="S305" s="13"/>
      <c r="T305" s="17"/>
      <c r="U305" s="13"/>
      <c r="V305" s="16"/>
      <c r="W305" s="13"/>
      <c r="X305" s="13"/>
      <c r="Y305" s="14"/>
      <c r="Z305" s="2"/>
      <c r="AA305" s="13">
        <f>H305*I305/100</f>
      </c>
      <c r="AB305" s="13">
        <f>H305*J305/100</f>
      </c>
      <c r="AC305" s="15">
        <f>H305*K305</f>
      </c>
      <c r="AD305" s="15">
        <f>H305*M305</f>
      </c>
      <c r="AE305" s="13">
        <f>H305*L305/100</f>
      </c>
      <c r="AF305" s="13">
        <f>AA305+AB305+AE305</f>
      </c>
      <c r="AG305" s="13">
        <f>I305+J305+L305</f>
      </c>
      <c r="AH305" s="18">
        <f>$H305*I305</f>
      </c>
      <c r="AI305" s="18">
        <f>$H305*J305</f>
      </c>
      <c r="AJ305" s="18">
        <f>$H305*K305</f>
      </c>
      <c r="AK305" s="18">
        <f>$H305*L305</f>
      </c>
      <c r="AL305" s="18">
        <f>$H305*M305</f>
      </c>
      <c r="AM305" s="14"/>
      <c r="AN305" s="14"/>
      <c r="AO305" s="14"/>
    </row>
    <row x14ac:dyDescent="0.25" r="306" customHeight="1" ht="17.25">
      <c r="A306" s="2" t="s">
        <v>674</v>
      </c>
      <c r="B306" s="2" t="s">
        <v>429</v>
      </c>
      <c r="C306" s="2" t="s">
        <v>50</v>
      </c>
      <c r="D306" s="2"/>
      <c r="E306" s="2" t="s">
        <v>52</v>
      </c>
      <c r="F306" s="2" t="s">
        <v>675</v>
      </c>
      <c r="G306" s="2" t="s">
        <v>147</v>
      </c>
      <c r="H306" s="13">
        <f>23.44+4.31+0.89</f>
      </c>
      <c r="I306" s="13">
        <f>(0.6*23.44+0.54*4.31+0.95*0.89)/$H306</f>
      </c>
      <c r="J306" s="13">
        <f>(1.41*23.44+1.29*4.31+2.37*0.89)/$H306</f>
      </c>
      <c r="K306" s="13">
        <f>(5.31*23.44+4.47*4.31+11.29*0.89)/$H306</f>
      </c>
      <c r="L306" s="13">
        <f>(0.35*23.44+0.27*4.31+0.96*0.89)/$H306</f>
      </c>
      <c r="M306" s="13">
        <f>(0.07*23.44+0.08*4.31+0.15*0.89)/$H306</f>
      </c>
      <c r="N306" s="15"/>
      <c r="O306" s="16"/>
      <c r="P306" s="13"/>
      <c r="Q306" s="13"/>
      <c r="R306" s="17"/>
      <c r="S306" s="13"/>
      <c r="T306" s="17"/>
      <c r="U306" s="13"/>
      <c r="V306" s="16"/>
      <c r="W306" s="13"/>
      <c r="X306" s="13"/>
      <c r="Y306" s="14"/>
      <c r="Z306" s="2"/>
      <c r="AA306" s="13">
        <f>H306*I306/100</f>
      </c>
      <c r="AB306" s="13">
        <f>H306*J306/100</f>
      </c>
      <c r="AC306" s="15">
        <f>H306*K306</f>
      </c>
      <c r="AD306" s="15">
        <f>H306*M306</f>
      </c>
      <c r="AE306" s="13">
        <f>H306*L306/100</f>
      </c>
      <c r="AF306" s="13">
        <f>AA306+AB306+AE306</f>
      </c>
      <c r="AG306" s="13">
        <f>I306+J306+L306</f>
      </c>
      <c r="AH306" s="18">
        <f>$H306*I306</f>
      </c>
      <c r="AI306" s="18">
        <f>$H306*J306</f>
      </c>
      <c r="AJ306" s="18">
        <f>$H306*K306</f>
      </c>
      <c r="AK306" s="18">
        <f>$H306*L306</f>
      </c>
      <c r="AL306" s="18">
        <f>$H306*M306</f>
      </c>
      <c r="AM306" s="14"/>
      <c r="AN306" s="14"/>
      <c r="AO306" s="14"/>
    </row>
    <row x14ac:dyDescent="0.25" r="307" customHeight="1" ht="17.25">
      <c r="A307" s="2" t="s">
        <v>676</v>
      </c>
      <c r="B307" s="2" t="s">
        <v>429</v>
      </c>
      <c r="C307" s="2" t="s">
        <v>159</v>
      </c>
      <c r="D307" s="2"/>
      <c r="E307" s="12" t="s">
        <v>42</v>
      </c>
      <c r="F307" s="2" t="s">
        <v>677</v>
      </c>
      <c r="G307" s="2" t="s">
        <v>440</v>
      </c>
      <c r="H307" s="16">
        <f>0.233124+0.07411</f>
      </c>
      <c r="I307" s="13"/>
      <c r="J307" s="15">
        <f>(1.5*0.233124+6.6*0.07411)/$H307</f>
      </c>
      <c r="K307" s="15">
        <f>(63.1*0.233124+27.7*0.07411)/$H307</f>
      </c>
      <c r="L307" s="13"/>
      <c r="M307" s="15">
        <f>(2.4*0.233124+3.2*0.07411)/$H307</f>
      </c>
      <c r="N307" s="15"/>
      <c r="O307" s="16"/>
      <c r="P307" s="13"/>
      <c r="Q307" s="13"/>
      <c r="R307" s="17"/>
      <c r="S307" s="13"/>
      <c r="T307" s="17"/>
      <c r="U307" s="13"/>
      <c r="V307" s="16"/>
      <c r="W307" s="13"/>
      <c r="X307" s="13"/>
      <c r="Y307" s="14"/>
      <c r="Z307" s="2"/>
      <c r="AA307" s="13">
        <f>H307*I307/100</f>
      </c>
      <c r="AB307" s="13">
        <f>H307*J307/100</f>
      </c>
      <c r="AC307" s="15">
        <f>H307*K307</f>
      </c>
      <c r="AD307" s="15">
        <f>H307*M307</f>
      </c>
      <c r="AE307" s="13">
        <f>H307*L307/100</f>
      </c>
      <c r="AF307" s="13">
        <f>AA307+AB307+AE307</f>
      </c>
      <c r="AG307" s="13">
        <f>I307+J307+L307</f>
      </c>
      <c r="AH307" s="18">
        <f>$H307*I307</f>
      </c>
      <c r="AI307" s="18">
        <f>$H307*J307</f>
      </c>
      <c r="AJ307" s="18">
        <f>$H307*K307</f>
      </c>
      <c r="AK307" s="18">
        <f>$H307*L307</f>
      </c>
      <c r="AL307" s="18">
        <f>$H307*M307</f>
      </c>
      <c r="AM307" s="14"/>
      <c r="AN307" s="14"/>
      <c r="AO307" s="14"/>
    </row>
    <row x14ac:dyDescent="0.25" r="308" customHeight="1" ht="17.25">
      <c r="A308" s="2" t="s">
        <v>678</v>
      </c>
      <c r="B308" s="2" t="s">
        <v>429</v>
      </c>
      <c r="C308" s="2" t="s">
        <v>50</v>
      </c>
      <c r="D308" s="2"/>
      <c r="E308" s="2" t="s">
        <v>52</v>
      </c>
      <c r="F308" s="2" t="s">
        <v>679</v>
      </c>
      <c r="G308" s="2" t="s">
        <v>664</v>
      </c>
      <c r="H308" s="13">
        <f>1.309+0.355</f>
      </c>
      <c r="I308" s="13"/>
      <c r="J308" s="13">
        <f>(4.12*1.309+0.39*0.355)/$H308</f>
      </c>
      <c r="K308" s="15">
        <f>(42.8*1.309+24.2*0.355)/$H308</f>
      </c>
      <c r="L308" s="13">
        <f>(1.99*1.309+3.41*0.355)/$H308</f>
      </c>
      <c r="M308" s="13">
        <f>(1.27*1.309+0.26*0.355)/$H308</f>
      </c>
      <c r="N308" s="15"/>
      <c r="O308" s="16"/>
      <c r="P308" s="13"/>
      <c r="Q308" s="13"/>
      <c r="R308" s="17"/>
      <c r="S308" s="13"/>
      <c r="T308" s="17"/>
      <c r="U308" s="13"/>
      <c r="V308" s="16"/>
      <c r="W308" s="13"/>
      <c r="X308" s="13"/>
      <c r="Y308" s="14"/>
      <c r="Z308" s="2"/>
      <c r="AA308" s="13">
        <f>H308*I308/100</f>
      </c>
      <c r="AB308" s="13">
        <f>H308*J308/100</f>
      </c>
      <c r="AC308" s="15">
        <f>H308*K308</f>
      </c>
      <c r="AD308" s="15">
        <f>H308*M308</f>
      </c>
      <c r="AE308" s="13">
        <f>H308*L308/100</f>
      </c>
      <c r="AF308" s="13">
        <f>AA308+AB308+AE308</f>
      </c>
      <c r="AG308" s="13">
        <f>I308+J308+L308</f>
      </c>
      <c r="AH308" s="18">
        <f>$H308*I308</f>
      </c>
      <c r="AI308" s="18">
        <f>$H308*J308</f>
      </c>
      <c r="AJ308" s="18">
        <f>$H308*K308</f>
      </c>
      <c r="AK308" s="18">
        <f>$H308*L308</f>
      </c>
      <c r="AL308" s="18">
        <f>$H308*M308</f>
      </c>
      <c r="AM308" s="14"/>
      <c r="AN308" s="14"/>
      <c r="AO308" s="14"/>
    </row>
    <row x14ac:dyDescent="0.25" r="309" customHeight="1" ht="17.25">
      <c r="A309" s="2" t="s">
        <v>680</v>
      </c>
      <c r="B309" s="2" t="s">
        <v>429</v>
      </c>
      <c r="C309" s="2" t="s">
        <v>50</v>
      </c>
      <c r="D309" s="2"/>
      <c r="E309" s="2" t="s">
        <v>52</v>
      </c>
      <c r="F309" s="2" t="s">
        <v>504</v>
      </c>
      <c r="G309" s="2" t="s">
        <v>681</v>
      </c>
      <c r="H309" s="13">
        <f>4.57+9.78</f>
      </c>
      <c r="I309" s="13">
        <f>(1.76*4.57+1.21*9.78)/$H309</f>
      </c>
      <c r="J309" s="13">
        <f>(3.54*4.57+2.54*9.78)/$H309</f>
      </c>
      <c r="K309" s="15">
        <f>(45.36*4.57+31.04*9.78)/$H309</f>
      </c>
      <c r="L309" s="13">
        <f>(1.41*4.57+0.96*9.78)/$H309</f>
      </c>
      <c r="M309" s="13">
        <f>(0.74*4.57+0.47*9.78)/$H309</f>
      </c>
      <c r="N309" s="15"/>
      <c r="O309" s="16"/>
      <c r="P309" s="13"/>
      <c r="Q309" s="13"/>
      <c r="R309" s="17"/>
      <c r="S309" s="13"/>
      <c r="T309" s="17"/>
      <c r="U309" s="13"/>
      <c r="V309" s="16"/>
      <c r="W309" s="13"/>
      <c r="X309" s="13"/>
      <c r="Y309" s="14"/>
      <c r="Z309" s="2"/>
      <c r="AA309" s="13">
        <f>H309*I309/100</f>
      </c>
      <c r="AB309" s="13">
        <f>H309*J309/100</f>
      </c>
      <c r="AC309" s="15">
        <f>H309*K309</f>
      </c>
      <c r="AD309" s="15">
        <f>H309*M309</f>
      </c>
      <c r="AE309" s="13">
        <f>H309*L309/100</f>
      </c>
      <c r="AF309" s="13">
        <f>AA309+AB309+AE309</f>
      </c>
      <c r="AG309" s="13">
        <f>I309+J309+L309</f>
      </c>
      <c r="AH309" s="18">
        <f>$H309*I309</f>
      </c>
      <c r="AI309" s="18">
        <f>$H309*J309</f>
      </c>
      <c r="AJ309" s="18">
        <f>$H309*K309</f>
      </c>
      <c r="AK309" s="18">
        <f>$H309*L309</f>
      </c>
      <c r="AL309" s="18">
        <f>$H309*M309</f>
      </c>
      <c r="AM309" s="14"/>
      <c r="AN309" s="14"/>
      <c r="AO309" s="14"/>
    </row>
    <row x14ac:dyDescent="0.25" r="310" customHeight="1" ht="17.25">
      <c r="A310" s="2" t="s">
        <v>682</v>
      </c>
      <c r="B310" s="2" t="s">
        <v>429</v>
      </c>
      <c r="C310" s="2" t="s">
        <v>50</v>
      </c>
      <c r="D310" s="2"/>
      <c r="E310" s="12" t="s">
        <v>42</v>
      </c>
      <c r="F310" s="2" t="s">
        <v>627</v>
      </c>
      <c r="G310" s="2" t="s">
        <v>683</v>
      </c>
      <c r="H310" s="16">
        <v>0.53343</v>
      </c>
      <c r="I310" s="13">
        <v>6.1</v>
      </c>
      <c r="J310" s="13">
        <v>4.6</v>
      </c>
      <c r="K310" s="13">
        <v>102.86</v>
      </c>
      <c r="L310" s="13"/>
      <c r="M310" s="13"/>
      <c r="N310" s="15"/>
      <c r="O310" s="16"/>
      <c r="P310" s="13"/>
      <c r="Q310" s="13"/>
      <c r="R310" s="17"/>
      <c r="S310" s="13"/>
      <c r="T310" s="17"/>
      <c r="U310" s="13"/>
      <c r="V310" s="16"/>
      <c r="W310" s="13"/>
      <c r="X310" s="13"/>
      <c r="Y310" s="14"/>
      <c r="Z310" s="2"/>
      <c r="AA310" s="13">
        <f>H310*I310/100</f>
      </c>
      <c r="AB310" s="13">
        <f>H310*J310/100</f>
      </c>
      <c r="AC310" s="15">
        <f>H310*K310</f>
      </c>
      <c r="AD310" s="15">
        <f>H310*M310</f>
      </c>
      <c r="AE310" s="13">
        <f>H310*L310/100</f>
      </c>
      <c r="AF310" s="13">
        <f>AA310+AB310+AE310</f>
      </c>
      <c r="AG310" s="13">
        <f>I310+J310+L310</f>
      </c>
      <c r="AH310" s="18">
        <f>$H310*I310</f>
      </c>
      <c r="AI310" s="18">
        <f>$H310*J310</f>
      </c>
      <c r="AJ310" s="18">
        <f>$H310*K310</f>
      </c>
      <c r="AK310" s="18">
        <f>$H310*L310</f>
      </c>
      <c r="AL310" s="18">
        <f>$H310*M310</f>
      </c>
      <c r="AM310" s="14"/>
      <c r="AN310" s="14"/>
      <c r="AO310" s="14"/>
    </row>
    <row x14ac:dyDescent="0.25" r="311" customHeight="1" ht="17.25">
      <c r="A311" s="2" t="s">
        <v>684</v>
      </c>
      <c r="B311" s="2" t="s">
        <v>429</v>
      </c>
      <c r="C311" s="2" t="s">
        <v>50</v>
      </c>
      <c r="D311" s="2"/>
      <c r="E311" s="2" t="s">
        <v>52</v>
      </c>
      <c r="F311" s="2" t="s">
        <v>685</v>
      </c>
      <c r="G311" s="2" t="s">
        <v>686</v>
      </c>
      <c r="H311" s="13">
        <f>13.9+11.311</f>
      </c>
      <c r="I311" s="13"/>
      <c r="J311" s="13">
        <f>(2.67*13.9+2.97*11.311)/$H311</f>
      </c>
      <c r="K311" s="17">
        <f>(17*13.9+17*11.311)/$H311</f>
      </c>
      <c r="L311" s="13">
        <f>(1.28*13.9+1.32*11.311)/$H311</f>
      </c>
      <c r="M311" s="13">
        <f>(0.49*13.9+0.43*11.311)/$H311</f>
      </c>
      <c r="N311" s="15"/>
      <c r="O311" s="16"/>
      <c r="P311" s="13"/>
      <c r="Q311" s="13"/>
      <c r="R311" s="17"/>
      <c r="S311" s="13"/>
      <c r="T311" s="17"/>
      <c r="U311" s="13"/>
      <c r="V311" s="16"/>
      <c r="W311" s="13"/>
      <c r="X311" s="13"/>
      <c r="Y311" s="14"/>
      <c r="Z311" s="2"/>
      <c r="AA311" s="13">
        <f>H311*I311/100</f>
      </c>
      <c r="AB311" s="13">
        <f>H311*J311/100</f>
      </c>
      <c r="AC311" s="15">
        <f>H311*K311</f>
      </c>
      <c r="AD311" s="15">
        <f>H311*M311</f>
      </c>
      <c r="AE311" s="13">
        <f>H311*L311/100</f>
      </c>
      <c r="AF311" s="13">
        <f>AA311+AB311+AE311</f>
      </c>
      <c r="AG311" s="13">
        <f>I311+J311+L311</f>
      </c>
      <c r="AH311" s="18">
        <f>$H311*I311</f>
      </c>
      <c r="AI311" s="18">
        <f>$H311*J311</f>
      </c>
      <c r="AJ311" s="18">
        <f>$H311*K311</f>
      </c>
      <c r="AK311" s="18">
        <f>$H311*L311</f>
      </c>
      <c r="AL311" s="18">
        <f>$H311*M311</f>
      </c>
      <c r="AM311" s="14"/>
      <c r="AN311" s="14"/>
      <c r="AO311" s="14"/>
    </row>
    <row x14ac:dyDescent="0.25" r="312" customHeight="1" ht="17.25">
      <c r="A312" s="2" t="s">
        <v>687</v>
      </c>
      <c r="B312" s="2" t="s">
        <v>429</v>
      </c>
      <c r="C312" s="12" t="s">
        <v>159</v>
      </c>
      <c r="D312" s="2"/>
      <c r="E312" s="12" t="s">
        <v>42</v>
      </c>
      <c r="F312" s="2" t="s">
        <v>516</v>
      </c>
      <c r="G312" s="2" t="s">
        <v>502</v>
      </c>
      <c r="H312" s="13">
        <f>1.1+0.4</f>
      </c>
      <c r="I312" s="15">
        <f>(4.1*1.1+9.3*0.4)/$H312</f>
      </c>
      <c r="J312" s="15">
        <f>(8.3*1.1+1.7*0.4)/$H312</f>
      </c>
      <c r="K312" s="17">
        <f>(62*1.1+214*0.4)/$H312</f>
      </c>
      <c r="L312" s="13"/>
      <c r="M312" s="13"/>
      <c r="N312" s="15"/>
      <c r="O312" s="16"/>
      <c r="P312" s="13"/>
      <c r="Q312" s="13"/>
      <c r="R312" s="17"/>
      <c r="S312" s="13"/>
      <c r="T312" s="17"/>
      <c r="U312" s="13"/>
      <c r="V312" s="16"/>
      <c r="W312" s="13"/>
      <c r="X312" s="13"/>
      <c r="Y312" s="14"/>
      <c r="Z312" s="2"/>
      <c r="AA312" s="13">
        <f>H312*I312/100</f>
      </c>
      <c r="AB312" s="13">
        <f>H312*J312/100</f>
      </c>
      <c r="AC312" s="15">
        <f>H312*K312</f>
      </c>
      <c r="AD312" s="15">
        <f>H312*M312</f>
      </c>
      <c r="AE312" s="13">
        <f>H312*L312/100</f>
      </c>
      <c r="AF312" s="13">
        <f>AA312+AB312+AE312</f>
      </c>
      <c r="AG312" s="13">
        <f>I312+J312+L312</f>
      </c>
      <c r="AH312" s="18">
        <f>$H312*I312</f>
      </c>
      <c r="AI312" s="18">
        <f>$H312*J312</f>
      </c>
      <c r="AJ312" s="18">
        <f>$H312*K312</f>
      </c>
      <c r="AK312" s="18">
        <f>$H312*L312</f>
      </c>
      <c r="AL312" s="18">
        <f>$H312*M312</f>
      </c>
      <c r="AM312" s="14"/>
      <c r="AN312" s="14"/>
      <c r="AO312" s="14"/>
    </row>
    <row x14ac:dyDescent="0.25" r="313" customHeight="1" ht="17.25">
      <c r="A313" s="2" t="s">
        <v>688</v>
      </c>
      <c r="B313" s="2" t="s">
        <v>429</v>
      </c>
      <c r="C313" s="2" t="s">
        <v>40</v>
      </c>
      <c r="D313" s="2" t="s">
        <v>64</v>
      </c>
      <c r="E313" s="12" t="s">
        <v>42</v>
      </c>
      <c r="F313" s="2" t="s">
        <v>627</v>
      </c>
      <c r="G313" s="2" t="s">
        <v>689</v>
      </c>
      <c r="H313" s="13">
        <v>5.62</v>
      </c>
      <c r="I313" s="13">
        <v>1.82</v>
      </c>
      <c r="J313" s="13">
        <v>6.31</v>
      </c>
      <c r="K313" s="14"/>
      <c r="L313" s="13"/>
      <c r="M313" s="13"/>
      <c r="N313" s="13">
        <f>44.21*(137.327/(137.327+96.06))</f>
      </c>
      <c r="O313" s="16"/>
      <c r="P313" s="13"/>
      <c r="Q313" s="13"/>
      <c r="R313" s="17"/>
      <c r="S313" s="13"/>
      <c r="T313" s="17"/>
      <c r="U313" s="13"/>
      <c r="V313" s="16"/>
      <c r="W313" s="13"/>
      <c r="X313" s="13"/>
      <c r="Y313" s="14"/>
      <c r="Z313" s="2"/>
      <c r="AA313" s="13">
        <f>H313*I313/100</f>
      </c>
      <c r="AB313" s="13">
        <f>H313*J313/100</f>
      </c>
      <c r="AC313" s="15">
        <f>H313*K313</f>
      </c>
      <c r="AD313" s="15">
        <f>H313*M313</f>
      </c>
      <c r="AE313" s="13">
        <f>H313*L313/100</f>
      </c>
      <c r="AF313" s="13">
        <f>AA313+AB313+AE313</f>
      </c>
      <c r="AG313" s="13">
        <f>I313+J313+L313</f>
      </c>
      <c r="AH313" s="18">
        <f>$H313*I313</f>
      </c>
      <c r="AI313" s="18">
        <f>$H313*J313</f>
      </c>
      <c r="AJ313" s="18">
        <f>$H313*K313</f>
      </c>
      <c r="AK313" s="18">
        <f>$H313*L313</f>
      </c>
      <c r="AL313" s="18">
        <f>$H313*M313</f>
      </c>
      <c r="AM313" s="14"/>
      <c r="AN313" s="14"/>
      <c r="AO313" s="14"/>
    </row>
    <row x14ac:dyDescent="0.25" r="314" customHeight="1" ht="17.25">
      <c r="A314" s="2" t="s">
        <v>690</v>
      </c>
      <c r="B314" s="2" t="s">
        <v>429</v>
      </c>
      <c r="C314" s="2" t="s">
        <v>40</v>
      </c>
      <c r="D314" s="2" t="s">
        <v>64</v>
      </c>
      <c r="E314" s="12" t="s">
        <v>42</v>
      </c>
      <c r="F314" s="2" t="s">
        <v>43</v>
      </c>
      <c r="G314" s="2" t="s">
        <v>46</v>
      </c>
      <c r="H314" s="13">
        <v>2.1</v>
      </c>
      <c r="I314" s="13">
        <v>1.76</v>
      </c>
      <c r="J314" s="13">
        <v>4.12</v>
      </c>
      <c r="K314" s="13">
        <v>24.8</v>
      </c>
      <c r="L314" s="13"/>
      <c r="M314" s="13"/>
      <c r="N314" s="15"/>
      <c r="O314" s="16"/>
      <c r="P314" s="13"/>
      <c r="Q314" s="13"/>
      <c r="R314" s="17"/>
      <c r="S314" s="13"/>
      <c r="T314" s="17"/>
      <c r="U314" s="13"/>
      <c r="V314" s="16"/>
      <c r="W314" s="13"/>
      <c r="X314" s="13"/>
      <c r="Y314" s="14"/>
      <c r="Z314" s="2"/>
      <c r="AA314" s="13">
        <f>H314*I314/100</f>
      </c>
      <c r="AB314" s="13">
        <f>H314*J314/100</f>
      </c>
      <c r="AC314" s="15">
        <f>H314*K314</f>
      </c>
      <c r="AD314" s="15">
        <f>H314*M314</f>
      </c>
      <c r="AE314" s="13">
        <f>H314*L314/100</f>
      </c>
      <c r="AF314" s="13">
        <f>AA314+AB314+AE314</f>
      </c>
      <c r="AG314" s="13">
        <f>I314+J314+L314</f>
      </c>
      <c r="AH314" s="18">
        <f>$H314*I314</f>
      </c>
      <c r="AI314" s="18">
        <f>$H314*J314</f>
      </c>
      <c r="AJ314" s="18">
        <f>$H314*K314</f>
      </c>
      <c r="AK314" s="18">
        <f>$H314*L314</f>
      </c>
      <c r="AL314" s="18">
        <f>$H314*M314</f>
      </c>
      <c r="AM314" s="14"/>
      <c r="AN314" s="14"/>
      <c r="AO314" s="14"/>
    </row>
    <row x14ac:dyDescent="0.25" r="315" customHeight="1" ht="17.25">
      <c r="A315" s="2" t="s">
        <v>691</v>
      </c>
      <c r="B315" s="2" t="s">
        <v>429</v>
      </c>
      <c r="C315" s="2" t="s">
        <v>50</v>
      </c>
      <c r="D315" s="2" t="s">
        <v>692</v>
      </c>
      <c r="E315" s="2" t="s">
        <v>52</v>
      </c>
      <c r="F315" s="2" t="s">
        <v>693</v>
      </c>
      <c r="G315" s="2" t="s">
        <v>694</v>
      </c>
      <c r="H315" s="13">
        <f>45.298+23.324+15.011</f>
      </c>
      <c r="I315" s="13"/>
      <c r="J315" s="13">
        <f>(0.02*45.298+0.02*23.324+0.01*15.011)/H315</f>
      </c>
      <c r="K315" s="13">
        <f>(0.99*45.298+0.96*23.324+0.81*15.011)/H315</f>
      </c>
      <c r="L315" s="13">
        <f>(0.98*45.298+0.91*23.324+0.79*15.011)/H315</f>
      </c>
      <c r="M315" s="13">
        <f>(0.09*45.298+0.09*23.324+0.08*15.011)/H315</f>
      </c>
      <c r="N315" s="13"/>
      <c r="O315" s="16"/>
      <c r="P315" s="13"/>
      <c r="Q315" s="13"/>
      <c r="R315" s="17"/>
      <c r="S315" s="13"/>
      <c r="T315" s="17"/>
      <c r="U315" s="13"/>
      <c r="V315" s="16"/>
      <c r="W315" s="13"/>
      <c r="X315" s="13"/>
      <c r="Y315" s="14"/>
      <c r="Z315" s="2"/>
      <c r="AA315" s="13">
        <f>H315*I315/100</f>
      </c>
      <c r="AB315" s="13">
        <f>H315*J315/100</f>
      </c>
      <c r="AC315" s="15">
        <f>H315*K315</f>
      </c>
      <c r="AD315" s="15">
        <f>H315*M315</f>
      </c>
      <c r="AE315" s="13">
        <f>H315*L315/100</f>
      </c>
      <c r="AF315" s="13">
        <f>AA315+AB315+AE315</f>
      </c>
      <c r="AG315" s="13">
        <f>I315+J315+L315</f>
      </c>
      <c r="AH315" s="18">
        <f>$H315*I315</f>
      </c>
      <c r="AI315" s="18">
        <f>$H315*J315</f>
      </c>
      <c r="AJ315" s="18">
        <f>$H315*K315</f>
      </c>
      <c r="AK315" s="18">
        <f>$H315*L315</f>
      </c>
      <c r="AL315" s="18">
        <f>$H315*M315</f>
      </c>
      <c r="AM315" s="14"/>
      <c r="AN315" s="14"/>
      <c r="AO315" s="14"/>
    </row>
    <row x14ac:dyDescent="0.25" r="316" customHeight="1" ht="17.25">
      <c r="A316" s="2" t="s">
        <v>695</v>
      </c>
      <c r="B316" s="2" t="s">
        <v>429</v>
      </c>
      <c r="C316" s="2" t="s">
        <v>56</v>
      </c>
      <c r="D316" s="2"/>
      <c r="E316" s="12" t="s">
        <v>42</v>
      </c>
      <c r="F316" s="2" t="s">
        <v>43</v>
      </c>
      <c r="G316" s="2" t="s">
        <v>440</v>
      </c>
      <c r="H316" s="16">
        <v>0.0408</v>
      </c>
      <c r="I316" s="13">
        <v>6.23</v>
      </c>
      <c r="J316" s="13">
        <v>9.49</v>
      </c>
      <c r="K316" s="14">
        <v>355</v>
      </c>
      <c r="L316" s="13"/>
      <c r="M316" s="13">
        <v>1.13</v>
      </c>
      <c r="N316" s="15"/>
      <c r="O316" s="16"/>
      <c r="P316" s="13"/>
      <c r="Q316" s="13"/>
      <c r="R316" s="17"/>
      <c r="S316" s="13"/>
      <c r="T316" s="17"/>
      <c r="U316" s="13"/>
      <c r="V316" s="16"/>
      <c r="W316" s="13"/>
      <c r="X316" s="13"/>
      <c r="Y316" s="14"/>
      <c r="Z316" s="2"/>
      <c r="AA316" s="13">
        <f>H316*I316/100</f>
      </c>
      <c r="AB316" s="13">
        <f>H316*J316/100</f>
      </c>
      <c r="AC316" s="15">
        <f>H316*K316</f>
      </c>
      <c r="AD316" s="15">
        <f>H316*M316</f>
      </c>
      <c r="AE316" s="13">
        <f>H316*L316/100</f>
      </c>
      <c r="AF316" s="13">
        <f>AA316+AB316+AE316</f>
      </c>
      <c r="AG316" s="13">
        <f>I316+J316+L316</f>
      </c>
      <c r="AH316" s="18">
        <f>$H316*I316</f>
      </c>
      <c r="AI316" s="18">
        <f>$H316*J316</f>
      </c>
      <c r="AJ316" s="18">
        <f>$H316*K316</f>
      </c>
      <c r="AK316" s="18">
        <f>$H316*L316</f>
      </c>
      <c r="AL316" s="18">
        <f>$H316*M316</f>
      </c>
      <c r="AM316" s="14"/>
      <c r="AN316" s="14"/>
      <c r="AO316" s="14"/>
    </row>
    <row x14ac:dyDescent="0.25" r="317" customHeight="1" ht="17.25">
      <c r="A317" s="2" t="s">
        <v>696</v>
      </c>
      <c r="B317" s="2" t="s">
        <v>429</v>
      </c>
      <c r="C317" s="2" t="s">
        <v>40</v>
      </c>
      <c r="D317" s="2" t="s">
        <v>41</v>
      </c>
      <c r="E317" s="12" t="s">
        <v>42</v>
      </c>
      <c r="F317" s="2" t="s">
        <v>43</v>
      </c>
      <c r="G317" s="2" t="s">
        <v>46</v>
      </c>
      <c r="H317" s="13">
        <v>0.76</v>
      </c>
      <c r="I317" s="14">
        <v>10</v>
      </c>
      <c r="J317" s="14">
        <v>7</v>
      </c>
      <c r="K317" s="13">
        <v>1.2</v>
      </c>
      <c r="L317" s="13"/>
      <c r="M317" s="13"/>
      <c r="N317" s="15"/>
      <c r="O317" s="16"/>
      <c r="P317" s="13"/>
      <c r="Q317" s="13"/>
      <c r="R317" s="17"/>
      <c r="S317" s="13"/>
      <c r="T317" s="17"/>
      <c r="U317" s="13"/>
      <c r="V317" s="16"/>
      <c r="W317" s="13"/>
      <c r="X317" s="13"/>
      <c r="Y317" s="14"/>
      <c r="Z317" s="2"/>
      <c r="AA317" s="13">
        <f>H317*I317/100</f>
      </c>
      <c r="AB317" s="13">
        <f>H317*J317/100</f>
      </c>
      <c r="AC317" s="15">
        <f>H317*K317</f>
      </c>
      <c r="AD317" s="15">
        <f>H317*M317</f>
      </c>
      <c r="AE317" s="13">
        <f>H317*L317/100</f>
      </c>
      <c r="AF317" s="13">
        <f>AA317+AB317+AE317</f>
      </c>
      <c r="AG317" s="13">
        <f>I317+J317+L317</f>
      </c>
      <c r="AH317" s="18">
        <f>$H317*I317</f>
      </c>
      <c r="AI317" s="18">
        <f>$H317*J317</f>
      </c>
      <c r="AJ317" s="18">
        <f>$H317*K317</f>
      </c>
      <c r="AK317" s="18">
        <f>$H317*L317</f>
      </c>
      <c r="AL317" s="18">
        <f>$H317*M317</f>
      </c>
      <c r="AM317" s="14"/>
      <c r="AN317" s="14"/>
      <c r="AO317" s="14"/>
    </row>
    <row x14ac:dyDescent="0.25" r="318" customHeight="1" ht="17.25">
      <c r="A318" s="2" t="s">
        <v>697</v>
      </c>
      <c r="B318" s="2" t="s">
        <v>429</v>
      </c>
      <c r="C318" s="2" t="s">
        <v>68</v>
      </c>
      <c r="D318" s="2" t="s">
        <v>698</v>
      </c>
      <c r="E318" s="2" t="s">
        <v>52</v>
      </c>
      <c r="F318" s="2" t="s">
        <v>699</v>
      </c>
      <c r="G318" s="2" t="s">
        <v>70</v>
      </c>
      <c r="H318" s="13">
        <f>10.882+7.603</f>
      </c>
      <c r="I318" s="13"/>
      <c r="J318" s="13">
        <f>(0.67*10.882+0.99*7.603)/$H318</f>
      </c>
      <c r="K318" s="14"/>
      <c r="L318" s="13">
        <f>(0.11*10.882+0.09*7.603)/$H318</f>
      </c>
      <c r="M318" s="13"/>
      <c r="N318" s="15"/>
      <c r="O318" s="16"/>
      <c r="P318" s="13"/>
      <c r="Q318" s="13">
        <f>(0.43*10.882+0.22*7.603)/$H318</f>
      </c>
      <c r="R318" s="15">
        <f>(64*10.882+72.3*7.603)/$H318</f>
      </c>
      <c r="S318" s="13">
        <f>((0.06*10.882+0.05*7.603)/$H318)*(95.95/(95.95+2*16))</f>
      </c>
      <c r="T318" s="17"/>
      <c r="U318" s="13">
        <f>(0.09*10.882+0.08*7.603)/$H318</f>
      </c>
      <c r="V318" s="16"/>
      <c r="W318" s="13">
        <f>(0.98*10.882+0.8*7.603)/$H319</f>
      </c>
      <c r="X318" s="13"/>
      <c r="Y318" s="13">
        <f>(0.08*10.882+0.05*7.603)/$H319</f>
      </c>
      <c r="Z318" s="2" t="s">
        <v>700</v>
      </c>
      <c r="AA318" s="13">
        <f>H318*I318/100</f>
      </c>
      <c r="AB318" s="13">
        <f>H318*J318/100</f>
      </c>
      <c r="AC318" s="15">
        <f>H318*K318</f>
      </c>
      <c r="AD318" s="15">
        <f>H318*M318</f>
      </c>
      <c r="AE318" s="13">
        <f>H318*L318/100</f>
      </c>
      <c r="AF318" s="13">
        <f>AA318+AB318+AE318</f>
      </c>
      <c r="AG318" s="13">
        <f>I318+J318+L318</f>
      </c>
      <c r="AH318" s="18">
        <f>$H318*I318</f>
      </c>
      <c r="AI318" s="18">
        <f>$H318*J318</f>
      </c>
      <c r="AJ318" s="18">
        <f>$H318*K318</f>
      </c>
      <c r="AK318" s="18">
        <f>$H318*L318</f>
      </c>
      <c r="AL318" s="18">
        <f>$H318*M318</f>
      </c>
      <c r="AM318" s="14"/>
      <c r="AN318" s="14"/>
      <c r="AO318" s="14"/>
    </row>
    <row x14ac:dyDescent="0.25" r="319" customHeight="1" ht="17.25">
      <c r="A319" s="2" t="s">
        <v>701</v>
      </c>
      <c r="B319" s="2" t="s">
        <v>429</v>
      </c>
      <c r="C319" s="2" t="s">
        <v>50</v>
      </c>
      <c r="D319" s="2"/>
      <c r="E319" s="2" t="s">
        <v>52</v>
      </c>
      <c r="F319" s="2" t="s">
        <v>702</v>
      </c>
      <c r="G319" s="2" t="s">
        <v>615</v>
      </c>
      <c r="H319" s="13">
        <f>0.621+17.063+3.021</f>
      </c>
      <c r="I319" s="13">
        <f>(1.19*0.621+0.93*17.063+0.75*3.021)/$H319</f>
      </c>
      <c r="J319" s="13">
        <f>(3.53*0.621+2.52*17.063+1.83*3.021)/$H319</f>
      </c>
      <c r="K319" s="15">
        <f>(44.1*0.621+38.8*17.063+35*3.021)/$H319</f>
      </c>
      <c r="L319" s="13">
        <f>(0.27*0.621+0.43*17.063+0.62*3.021)/$H319</f>
      </c>
      <c r="M319" s="13">
        <f>(0.5*0.621+0.51*17.063+0.75*3.021)/$H319</f>
      </c>
      <c r="N319" s="15"/>
      <c r="O319" s="16"/>
      <c r="P319" s="13"/>
      <c r="Q319" s="13"/>
      <c r="R319" s="17"/>
      <c r="S319" s="13"/>
      <c r="T319" s="17"/>
      <c r="U319" s="13"/>
      <c r="V319" s="16"/>
      <c r="W319" s="13"/>
      <c r="X319" s="13"/>
      <c r="Y319" s="14"/>
      <c r="Z319" s="2"/>
      <c r="AA319" s="13">
        <f>H319*I319/100</f>
      </c>
      <c r="AB319" s="13">
        <f>H319*J319/100</f>
      </c>
      <c r="AC319" s="15">
        <f>H319*K319</f>
      </c>
      <c r="AD319" s="15">
        <f>H319*M319</f>
      </c>
      <c r="AE319" s="13">
        <f>H319*L319/100</f>
      </c>
      <c r="AF319" s="13">
        <f>AA319+AB319+AE319</f>
      </c>
      <c r="AG319" s="13">
        <f>I319+J319+L319</f>
      </c>
      <c r="AH319" s="18">
        <f>$H319*I319</f>
      </c>
      <c r="AI319" s="18">
        <f>$H319*J319</f>
      </c>
      <c r="AJ319" s="18">
        <f>$H319*K319</f>
      </c>
      <c r="AK319" s="18">
        <f>$H319*L319</f>
      </c>
      <c r="AL319" s="18">
        <f>$H319*M319</f>
      </c>
      <c r="AM319" s="14"/>
      <c r="AN319" s="14"/>
      <c r="AO319" s="14"/>
    </row>
    <row x14ac:dyDescent="0.25" r="320" customHeight="1" ht="17.25">
      <c r="A320" s="2" t="s">
        <v>703</v>
      </c>
      <c r="B320" s="2" t="s">
        <v>429</v>
      </c>
      <c r="C320" s="2" t="s">
        <v>50</v>
      </c>
      <c r="D320" s="2"/>
      <c r="E320" s="2" t="s">
        <v>52</v>
      </c>
      <c r="F320" s="2" t="s">
        <v>659</v>
      </c>
      <c r="G320" s="2" t="s">
        <v>66</v>
      </c>
      <c r="H320" s="13">
        <f>5.53+1.28+2.34</f>
      </c>
      <c r="I320" s="13">
        <f>(0.63*5.53+0.86*1.28+0.66*2.34)/$H320</f>
      </c>
      <c r="J320" s="13">
        <f>(6.02*5.53+7.75*1.28+5.86*2.34)/$H320</f>
      </c>
      <c r="K320" s="15">
        <f>(61.79*5.53+87.04*1.28+101.09*2.34)/$H320</f>
      </c>
      <c r="L320" s="13">
        <f>(0.9*5.53+1.27*1.28+0.55*2.34)/$H320</f>
      </c>
      <c r="M320" s="13">
        <f>(1.63*5.53+2.21*1.28+2.04*2.34)/$H320</f>
      </c>
      <c r="N320" s="15"/>
      <c r="O320" s="16"/>
      <c r="P320" s="13"/>
      <c r="Q320" s="13"/>
      <c r="R320" s="17"/>
      <c r="S320" s="13"/>
      <c r="T320" s="17"/>
      <c r="U320" s="13"/>
      <c r="V320" s="16"/>
      <c r="W320" s="13"/>
      <c r="X320" s="13"/>
      <c r="Y320" s="14"/>
      <c r="Z320" s="2"/>
      <c r="AA320" s="13">
        <f>H320*I320/100</f>
      </c>
      <c r="AB320" s="13">
        <f>H320*J320/100</f>
      </c>
      <c r="AC320" s="15">
        <f>H320*K320</f>
      </c>
      <c r="AD320" s="15">
        <f>H320*M320</f>
      </c>
      <c r="AE320" s="13">
        <f>H320*L320/100</f>
      </c>
      <c r="AF320" s="13">
        <f>AA320+AB320+AE320</f>
      </c>
      <c r="AG320" s="13">
        <f>I320+J320+L320</f>
      </c>
      <c r="AH320" s="18">
        <f>$H320*I320</f>
      </c>
      <c r="AI320" s="18">
        <f>$H320*J320</f>
      </c>
      <c r="AJ320" s="18">
        <f>$H320*K320</f>
      </c>
      <c r="AK320" s="18">
        <f>$H320*L320</f>
      </c>
      <c r="AL320" s="18">
        <f>$H320*M320</f>
      </c>
      <c r="AM320" s="14"/>
      <c r="AN320" s="14"/>
      <c r="AO320" s="14"/>
    </row>
    <row x14ac:dyDescent="0.25" r="321" customHeight="1" ht="17.25">
      <c r="A321" s="2" t="s">
        <v>704</v>
      </c>
      <c r="B321" s="2" t="s">
        <v>429</v>
      </c>
      <c r="C321" s="2" t="s">
        <v>40</v>
      </c>
      <c r="D321" s="2" t="s">
        <v>41</v>
      </c>
      <c r="E321" s="12" t="s">
        <v>42</v>
      </c>
      <c r="F321" s="2" t="s">
        <v>43</v>
      </c>
      <c r="G321" s="2" t="s">
        <v>546</v>
      </c>
      <c r="H321" s="13">
        <f>25.204383-17.924383</f>
      </c>
      <c r="I321" s="19">
        <v>0.34</v>
      </c>
      <c r="J321" s="13">
        <f>(7.2*25.204383-9*17.924383)/$H321</f>
      </c>
      <c r="K321" s="23">
        <v>35</v>
      </c>
      <c r="L321" s="13"/>
      <c r="M321" s="13"/>
      <c r="N321" s="15"/>
      <c r="O321" s="16"/>
      <c r="P321" s="13"/>
      <c r="Q321" s="13"/>
      <c r="R321" s="17"/>
      <c r="S321" s="13"/>
      <c r="T321" s="17"/>
      <c r="U321" s="13"/>
      <c r="V321" s="16"/>
      <c r="W321" s="13"/>
      <c r="X321" s="13"/>
      <c r="Y321" s="14"/>
      <c r="Z321" s="2"/>
      <c r="AA321" s="13">
        <f>H321*I321/100</f>
      </c>
      <c r="AB321" s="13">
        <f>H321*J321/100</f>
      </c>
      <c r="AC321" s="15">
        <f>H321*K321</f>
      </c>
      <c r="AD321" s="15">
        <f>H321*M321</f>
      </c>
      <c r="AE321" s="13">
        <f>H321*L321/100</f>
      </c>
      <c r="AF321" s="13">
        <f>AA321+AB321+AE321</f>
      </c>
      <c r="AG321" s="13">
        <f>I321+J321+L321</f>
      </c>
      <c r="AH321" s="18">
        <f>$H321*I321</f>
      </c>
      <c r="AI321" s="18">
        <f>$H321*J321</f>
      </c>
      <c r="AJ321" s="18">
        <f>$H321*K321</f>
      </c>
      <c r="AK321" s="18">
        <f>$H321*L321</f>
      </c>
      <c r="AL321" s="18">
        <f>$H321*M321</f>
      </c>
      <c r="AM321" s="14"/>
      <c r="AN321" s="14"/>
      <c r="AO321" s="14"/>
    </row>
    <row x14ac:dyDescent="0.25" r="322" customHeight="1" ht="17.25">
      <c r="A322" s="2" t="s">
        <v>705</v>
      </c>
      <c r="B322" s="2" t="s">
        <v>429</v>
      </c>
      <c r="C322" s="2" t="s">
        <v>50</v>
      </c>
      <c r="D322" s="2"/>
      <c r="E322" s="2" t="s">
        <v>52</v>
      </c>
      <c r="F322" s="2" t="s">
        <v>706</v>
      </c>
      <c r="G322" s="2" t="s">
        <v>623</v>
      </c>
      <c r="H322" s="16">
        <f>7.8079+1.2117</f>
      </c>
      <c r="I322" s="13">
        <f>(0.55*7.8079+0.52*1.2117)/$H322</f>
      </c>
      <c r="J322" s="13">
        <f>(2.72*7.8079+2.66*1.2117)/$H322</f>
      </c>
      <c r="K322" s="15">
        <f>(18.262*7.8079+18*1.2117)/$H322</f>
      </c>
      <c r="L322" s="13"/>
      <c r="M322" s="13"/>
      <c r="N322" s="15"/>
      <c r="O322" s="16"/>
      <c r="P322" s="13"/>
      <c r="Q322" s="13"/>
      <c r="R322" s="17"/>
      <c r="S322" s="13"/>
      <c r="T322" s="17"/>
      <c r="U322" s="13"/>
      <c r="V322" s="16"/>
      <c r="W322" s="13"/>
      <c r="X322" s="13"/>
      <c r="Y322" s="14"/>
      <c r="Z322" s="2"/>
      <c r="AA322" s="13">
        <f>H322*I322/100</f>
      </c>
      <c r="AB322" s="13">
        <f>H322*J322/100</f>
      </c>
      <c r="AC322" s="15">
        <f>H322*K322</f>
      </c>
      <c r="AD322" s="15">
        <f>H322*M322</f>
      </c>
      <c r="AE322" s="13">
        <f>H322*L322/100</f>
      </c>
      <c r="AF322" s="13">
        <f>AA322+AB322+AE322</f>
      </c>
      <c r="AG322" s="13">
        <f>I322+J322+L322</f>
      </c>
      <c r="AH322" s="18">
        <f>$H322*I322</f>
      </c>
      <c r="AI322" s="18">
        <f>$H322*J322</f>
      </c>
      <c r="AJ322" s="18">
        <f>$H322*K322</f>
      </c>
      <c r="AK322" s="18">
        <f>$H322*L322</f>
      </c>
      <c r="AL322" s="18">
        <f>$H322*M322</f>
      </c>
      <c r="AM322" s="14"/>
      <c r="AN322" s="14"/>
      <c r="AO322" s="14"/>
    </row>
    <row x14ac:dyDescent="0.25" r="323" customHeight="1" ht="17.25">
      <c r="A323" s="2" t="s">
        <v>707</v>
      </c>
      <c r="B323" s="2" t="s">
        <v>429</v>
      </c>
      <c r="C323" s="2" t="s">
        <v>50</v>
      </c>
      <c r="D323" s="2"/>
      <c r="E323" s="2" t="s">
        <v>52</v>
      </c>
      <c r="F323" s="2" t="s">
        <v>706</v>
      </c>
      <c r="G323" s="2" t="s">
        <v>708</v>
      </c>
      <c r="H323" s="16">
        <v>7.560272</v>
      </c>
      <c r="I323" s="13">
        <v>0.381</v>
      </c>
      <c r="J323" s="13">
        <v>1.522</v>
      </c>
      <c r="K323" s="15">
        <v>15.311</v>
      </c>
      <c r="L323" s="13">
        <v>0.146</v>
      </c>
      <c r="M323" s="13"/>
      <c r="N323" s="15"/>
      <c r="O323" s="16"/>
      <c r="P323" s="13"/>
      <c r="Q323" s="13"/>
      <c r="R323" s="17"/>
      <c r="S323" s="13"/>
      <c r="T323" s="17"/>
      <c r="U323" s="13"/>
      <c r="V323" s="16"/>
      <c r="W323" s="13"/>
      <c r="X323" s="13"/>
      <c r="Y323" s="14"/>
      <c r="Z323" s="2"/>
      <c r="AA323" s="13">
        <f>H323*I323/100</f>
      </c>
      <c r="AB323" s="13">
        <f>H323*J323/100</f>
      </c>
      <c r="AC323" s="15">
        <f>H323*K323</f>
      </c>
      <c r="AD323" s="15">
        <f>H323*M323</f>
      </c>
      <c r="AE323" s="13">
        <f>H323*L323/100</f>
      </c>
      <c r="AF323" s="13">
        <f>AA323+AB323+AE323</f>
      </c>
      <c r="AG323" s="13">
        <f>I323+J323+L323</f>
      </c>
      <c r="AH323" s="18">
        <f>$H323*I323</f>
      </c>
      <c r="AI323" s="18">
        <f>$H323*J323</f>
      </c>
      <c r="AJ323" s="18">
        <f>$H323*K323</f>
      </c>
      <c r="AK323" s="18">
        <f>$H323*L323</f>
      </c>
      <c r="AL323" s="18">
        <f>$H323*M323</f>
      </c>
      <c r="AM323" s="14"/>
      <c r="AN323" s="14"/>
      <c r="AO323" s="14"/>
    </row>
    <row x14ac:dyDescent="0.25" r="324" customHeight="1" ht="17.25">
      <c r="A324" s="2" t="s">
        <v>709</v>
      </c>
      <c r="B324" s="2" t="s">
        <v>429</v>
      </c>
      <c r="C324" s="2" t="s">
        <v>56</v>
      </c>
      <c r="D324" s="2" t="s">
        <v>75</v>
      </c>
      <c r="E324" s="12" t="s">
        <v>42</v>
      </c>
      <c r="F324" s="2" t="s">
        <v>710</v>
      </c>
      <c r="G324" s="2" t="s">
        <v>440</v>
      </c>
      <c r="H324" s="16">
        <v>0.688712</v>
      </c>
      <c r="I324" s="13">
        <v>1.82</v>
      </c>
      <c r="J324" s="13">
        <v>5.51</v>
      </c>
      <c r="K324" s="13">
        <v>58.6</v>
      </c>
      <c r="L324" s="13"/>
      <c r="M324" s="13">
        <v>0.99</v>
      </c>
      <c r="N324" s="15"/>
      <c r="O324" s="16"/>
      <c r="P324" s="13"/>
      <c r="Q324" s="13"/>
      <c r="R324" s="17"/>
      <c r="S324" s="13"/>
      <c r="T324" s="17"/>
      <c r="U324" s="13"/>
      <c r="V324" s="16"/>
      <c r="W324" s="13"/>
      <c r="X324" s="13"/>
      <c r="Y324" s="14"/>
      <c r="Z324" s="2"/>
      <c r="AA324" s="13">
        <f>H324*I324/100</f>
      </c>
      <c r="AB324" s="13">
        <f>H324*J324/100</f>
      </c>
      <c r="AC324" s="15">
        <f>H324*K324</f>
      </c>
      <c r="AD324" s="15">
        <f>H324*M324</f>
      </c>
      <c r="AE324" s="13">
        <f>H324*L324/100</f>
      </c>
      <c r="AF324" s="13">
        <f>AA324+AB324+AE324</f>
      </c>
      <c r="AG324" s="13">
        <f>I324+J324+L324</f>
      </c>
      <c r="AH324" s="18">
        <f>$H324*I324</f>
      </c>
      <c r="AI324" s="18">
        <f>$H324*J324</f>
      </c>
      <c r="AJ324" s="18">
        <f>$H324*K324</f>
      </c>
      <c r="AK324" s="18">
        <f>$H324*L324</f>
      </c>
      <c r="AL324" s="18">
        <f>$H324*M324</f>
      </c>
      <c r="AM324" s="14"/>
      <c r="AN324" s="14"/>
      <c r="AO324" s="14"/>
    </row>
    <row x14ac:dyDescent="0.25" r="325" customHeight="1" ht="17.25">
      <c r="A325" s="2" t="s">
        <v>711</v>
      </c>
      <c r="B325" s="2" t="s">
        <v>429</v>
      </c>
      <c r="C325" s="2" t="s">
        <v>56</v>
      </c>
      <c r="D325" s="2"/>
      <c r="E325" s="12" t="s">
        <v>42</v>
      </c>
      <c r="F325" s="2" t="s">
        <v>43</v>
      </c>
      <c r="G325" s="2" t="s">
        <v>440</v>
      </c>
      <c r="H325" s="16">
        <f>0.196087+0.020735</f>
      </c>
      <c r="I325" s="13">
        <v>2.85</v>
      </c>
      <c r="J325" s="13">
        <v>4.63</v>
      </c>
      <c r="K325" s="13">
        <v>411.3</v>
      </c>
      <c r="L325" s="13"/>
      <c r="M325" s="13">
        <v>0.47</v>
      </c>
      <c r="N325" s="15"/>
      <c r="O325" s="16"/>
      <c r="P325" s="13"/>
      <c r="Q325" s="13"/>
      <c r="R325" s="17"/>
      <c r="S325" s="13"/>
      <c r="T325" s="17"/>
      <c r="U325" s="13"/>
      <c r="V325" s="16"/>
      <c r="W325" s="13"/>
      <c r="X325" s="13"/>
      <c r="Y325" s="14"/>
      <c r="Z325" s="2"/>
      <c r="AA325" s="13">
        <f>H325*I325/100</f>
      </c>
      <c r="AB325" s="13">
        <f>H325*J325/100</f>
      </c>
      <c r="AC325" s="15">
        <f>H325*K325</f>
      </c>
      <c r="AD325" s="15">
        <f>H325*M325</f>
      </c>
      <c r="AE325" s="13">
        <f>H325*L325/100</f>
      </c>
      <c r="AF325" s="13">
        <f>AA325+AB325+AE325</f>
      </c>
      <c r="AG325" s="13">
        <f>I325+J325+L325</f>
      </c>
      <c r="AH325" s="18">
        <f>$H325*I325</f>
      </c>
      <c r="AI325" s="18">
        <f>$H325*J325</f>
      </c>
      <c r="AJ325" s="18">
        <f>$H325*K325</f>
      </c>
      <c r="AK325" s="18">
        <f>$H325*L325</f>
      </c>
      <c r="AL325" s="18">
        <f>$H325*M325</f>
      </c>
      <c r="AM325" s="14"/>
      <c r="AN325" s="14"/>
      <c r="AO325" s="14"/>
    </row>
    <row x14ac:dyDescent="0.25" r="326" customHeight="1" ht="17.25">
      <c r="A326" s="2" t="s">
        <v>712</v>
      </c>
      <c r="B326" s="2" t="s">
        <v>429</v>
      </c>
      <c r="C326" s="2" t="s">
        <v>50</v>
      </c>
      <c r="D326" s="2"/>
      <c r="E326" s="12" t="s">
        <v>42</v>
      </c>
      <c r="F326" s="2" t="s">
        <v>43</v>
      </c>
      <c r="G326" s="2" t="s">
        <v>440</v>
      </c>
      <c r="H326" s="13">
        <v>2.7</v>
      </c>
      <c r="I326" s="13">
        <v>0.01</v>
      </c>
      <c r="J326" s="13">
        <v>0.2</v>
      </c>
      <c r="K326" s="14">
        <v>34</v>
      </c>
      <c r="L326" s="13">
        <v>0.5</v>
      </c>
      <c r="M326" s="13">
        <v>0.3</v>
      </c>
      <c r="N326" s="15"/>
      <c r="O326" s="16"/>
      <c r="P326" s="13"/>
      <c r="Q326" s="13"/>
      <c r="R326" s="17"/>
      <c r="S326" s="13"/>
      <c r="T326" s="17"/>
      <c r="U326" s="13"/>
      <c r="V326" s="16"/>
      <c r="W326" s="13"/>
      <c r="X326" s="13"/>
      <c r="Y326" s="14"/>
      <c r="Z326" s="2"/>
      <c r="AA326" s="13">
        <f>H326*I326/100</f>
      </c>
      <c r="AB326" s="13">
        <f>H326*J326/100</f>
      </c>
      <c r="AC326" s="15">
        <f>H326*K326</f>
      </c>
      <c r="AD326" s="15">
        <f>H326*M326</f>
      </c>
      <c r="AE326" s="13">
        <f>H326*L326/100</f>
      </c>
      <c r="AF326" s="13">
        <f>AA326+AB326+AE326</f>
      </c>
      <c r="AG326" s="13">
        <f>I326+J326+L326</f>
      </c>
      <c r="AH326" s="18">
        <f>$H326*I326</f>
      </c>
      <c r="AI326" s="18">
        <f>$H326*J326</f>
      </c>
      <c r="AJ326" s="18">
        <f>$H326*K326</f>
      </c>
      <c r="AK326" s="18">
        <f>$H326*L326</f>
      </c>
      <c r="AL326" s="18">
        <f>$H326*M326</f>
      </c>
      <c r="AM326" s="14"/>
      <c r="AN326" s="14"/>
      <c r="AO326" s="14"/>
    </row>
    <row x14ac:dyDescent="0.25" r="327" customHeight="1" ht="17.25">
      <c r="A327" s="2" t="s">
        <v>713</v>
      </c>
      <c r="B327" s="2" t="s">
        <v>429</v>
      </c>
      <c r="C327" s="2" t="s">
        <v>50</v>
      </c>
      <c r="D327" s="2"/>
      <c r="E327" s="2" t="s">
        <v>52</v>
      </c>
      <c r="F327" s="2" t="s">
        <v>65</v>
      </c>
      <c r="G327" s="2" t="s">
        <v>66</v>
      </c>
      <c r="H327" s="13">
        <f>0.55+1</f>
      </c>
      <c r="I327" s="13"/>
      <c r="J327" s="13">
        <f>(4.22*0.55+5*1)/$H327</f>
      </c>
      <c r="K327" s="17">
        <f>(19.7*0.55+20*1)/$H327</f>
      </c>
      <c r="L327" s="15">
        <f>(0.82*0.55+1.3*1)/$H327</f>
      </c>
      <c r="M327" s="13">
        <f>(0.13*0.55+0*1)/$H327</f>
      </c>
      <c r="N327" s="15"/>
      <c r="O327" s="16"/>
      <c r="P327" s="13"/>
      <c r="Q327" s="13"/>
      <c r="R327" s="17"/>
      <c r="S327" s="13"/>
      <c r="T327" s="17"/>
      <c r="U327" s="13"/>
      <c r="V327" s="16"/>
      <c r="W327" s="13"/>
      <c r="X327" s="13"/>
      <c r="Y327" s="14"/>
      <c r="Z327" s="2"/>
      <c r="AA327" s="13">
        <f>H327*I327/100</f>
      </c>
      <c r="AB327" s="13">
        <f>H327*J327/100</f>
      </c>
      <c r="AC327" s="15">
        <f>H327*K327</f>
      </c>
      <c r="AD327" s="15">
        <f>H327*M327</f>
      </c>
      <c r="AE327" s="13">
        <f>H327*L327/100</f>
      </c>
      <c r="AF327" s="13">
        <f>AA327+AB327+AE327</f>
      </c>
      <c r="AG327" s="13">
        <f>I327+J327+L327</f>
      </c>
      <c r="AH327" s="18">
        <f>$H327*I327</f>
      </c>
      <c r="AI327" s="18">
        <f>$H327*J327</f>
      </c>
      <c r="AJ327" s="18">
        <f>$H327*K327</f>
      </c>
      <c r="AK327" s="18">
        <f>$H327*L327</f>
      </c>
      <c r="AL327" s="18">
        <f>$H327*M327</f>
      </c>
      <c r="AM327" s="14"/>
      <c r="AN327" s="14"/>
      <c r="AO327" s="14"/>
    </row>
    <row x14ac:dyDescent="0.25" r="328" customHeight="1" ht="17.25">
      <c r="A328" s="2" t="s">
        <v>714</v>
      </c>
      <c r="B328" s="2" t="s">
        <v>429</v>
      </c>
      <c r="C328" s="2" t="s">
        <v>56</v>
      </c>
      <c r="D328" s="2"/>
      <c r="E328" s="2" t="s">
        <v>52</v>
      </c>
      <c r="F328" s="2" t="s">
        <v>715</v>
      </c>
      <c r="G328" s="2" t="s">
        <v>617</v>
      </c>
      <c r="H328" s="16">
        <v>0.00263</v>
      </c>
      <c r="I328" s="14">
        <v>14</v>
      </c>
      <c r="J328" s="13"/>
      <c r="K328" s="14">
        <v>411</v>
      </c>
      <c r="L328" s="14">
        <v>5</v>
      </c>
      <c r="M328" s="13">
        <v>2.4</v>
      </c>
      <c r="N328" s="15"/>
      <c r="O328" s="16"/>
      <c r="P328" s="13"/>
      <c r="Q328" s="13"/>
      <c r="R328" s="17"/>
      <c r="S328" s="13"/>
      <c r="T328" s="17"/>
      <c r="U328" s="13"/>
      <c r="V328" s="16"/>
      <c r="W328" s="13"/>
      <c r="X328" s="13"/>
      <c r="Y328" s="14"/>
      <c r="Z328" s="2"/>
      <c r="AA328" s="13">
        <f>H328*I328/100</f>
      </c>
      <c r="AB328" s="13">
        <f>H328*J328/100</f>
      </c>
      <c r="AC328" s="15">
        <f>H328*K328</f>
      </c>
      <c r="AD328" s="15">
        <f>H328*M328</f>
      </c>
      <c r="AE328" s="13">
        <f>H328*L328/100</f>
      </c>
      <c r="AF328" s="13">
        <f>AA328+AB328+AE328</f>
      </c>
      <c r="AG328" s="13">
        <f>I328+J328+L328</f>
      </c>
      <c r="AH328" s="18">
        <f>$H328*I328</f>
      </c>
      <c r="AI328" s="18">
        <f>$H328*J328</f>
      </c>
      <c r="AJ328" s="18">
        <f>$H328*K328</f>
      </c>
      <c r="AK328" s="18">
        <f>$H328*L328</f>
      </c>
      <c r="AL328" s="18">
        <f>$H328*M328</f>
      </c>
      <c r="AM328" s="14"/>
      <c r="AN328" s="14"/>
      <c r="AO328" s="14"/>
    </row>
    <row x14ac:dyDescent="0.25" r="329" customHeight="1" ht="17.25">
      <c r="A329" s="2" t="s">
        <v>716</v>
      </c>
      <c r="B329" s="2" t="s">
        <v>429</v>
      </c>
      <c r="C329" s="2" t="s">
        <v>717</v>
      </c>
      <c r="D329" s="2"/>
      <c r="E329" s="12" t="s">
        <v>42</v>
      </c>
      <c r="F329" s="2" t="s">
        <v>718</v>
      </c>
      <c r="G329" s="2" t="s">
        <v>502</v>
      </c>
      <c r="H329" s="16">
        <v>0.139371</v>
      </c>
      <c r="I329" s="13">
        <v>3.7</v>
      </c>
      <c r="J329" s="13"/>
      <c r="K329" s="14">
        <v>316</v>
      </c>
      <c r="L329" s="13"/>
      <c r="M329" s="13"/>
      <c r="N329" s="15"/>
      <c r="O329" s="16"/>
      <c r="P329" s="13"/>
      <c r="Q329" s="13"/>
      <c r="R329" s="17"/>
      <c r="S329" s="13"/>
      <c r="T329" s="17"/>
      <c r="U329" s="13"/>
      <c r="V329" s="16"/>
      <c r="W329" s="13"/>
      <c r="X329" s="13"/>
      <c r="Y329" s="14"/>
      <c r="Z329" s="2"/>
      <c r="AA329" s="13">
        <f>H329*I329/100</f>
      </c>
      <c r="AB329" s="13">
        <f>H329*J329/100</f>
      </c>
      <c r="AC329" s="15">
        <f>H329*K329</f>
      </c>
      <c r="AD329" s="15">
        <f>H329*M329</f>
      </c>
      <c r="AE329" s="13">
        <f>H329*L329/100</f>
      </c>
      <c r="AF329" s="13">
        <f>AA329+AB329+AE329</f>
      </c>
      <c r="AG329" s="13">
        <f>I329+J329+L329</f>
      </c>
      <c r="AH329" s="18">
        <f>$H329*I329</f>
      </c>
      <c r="AI329" s="18">
        <f>$H329*J329</f>
      </c>
      <c r="AJ329" s="18">
        <f>$H329*K329</f>
      </c>
      <c r="AK329" s="18">
        <f>$H329*L329</f>
      </c>
      <c r="AL329" s="18">
        <f>$H329*M329</f>
      </c>
      <c r="AM329" s="14"/>
      <c r="AN329" s="14"/>
      <c r="AO329" s="14"/>
    </row>
    <row x14ac:dyDescent="0.25" r="330" customHeight="1" ht="17.25">
      <c r="A330" s="2" t="s">
        <v>719</v>
      </c>
      <c r="B330" s="2" t="s">
        <v>429</v>
      </c>
      <c r="C330" s="2" t="s">
        <v>50</v>
      </c>
      <c r="D330" s="2"/>
      <c r="E330" s="2" t="s">
        <v>52</v>
      </c>
      <c r="F330" s="2" t="s">
        <v>720</v>
      </c>
      <c r="G330" s="2" t="s">
        <v>721</v>
      </c>
      <c r="H330" s="13">
        <f>1.46-0.173</f>
      </c>
      <c r="I330" s="13"/>
      <c r="J330" s="13">
        <v>15.06</v>
      </c>
      <c r="K330" s="13">
        <v>36.8</v>
      </c>
      <c r="L330" s="13">
        <v>0.84</v>
      </c>
      <c r="M330" s="13">
        <v>0.49</v>
      </c>
      <c r="N330" s="15"/>
      <c r="O330" s="16"/>
      <c r="P330" s="13"/>
      <c r="Q330" s="13"/>
      <c r="R330" s="17"/>
      <c r="S330" s="13"/>
      <c r="T330" s="17"/>
      <c r="U330" s="13"/>
      <c r="V330" s="16"/>
      <c r="W330" s="13"/>
      <c r="X330" s="13"/>
      <c r="Y330" s="14"/>
      <c r="Z330" s="2"/>
      <c r="AA330" s="13">
        <f>H330*I330/100</f>
      </c>
      <c r="AB330" s="13">
        <f>H330*J330/100</f>
      </c>
      <c r="AC330" s="15">
        <f>H330*K330</f>
      </c>
      <c r="AD330" s="15">
        <f>H330*M330</f>
      </c>
      <c r="AE330" s="13">
        <f>H330*L330/100</f>
      </c>
      <c r="AF330" s="13">
        <f>AA330+AB330+AE330</f>
      </c>
      <c r="AG330" s="13">
        <f>I330+J330+L330</f>
      </c>
      <c r="AH330" s="18">
        <f>$H330*I330</f>
      </c>
      <c r="AI330" s="18">
        <f>$H330*J330</f>
      </c>
      <c r="AJ330" s="18">
        <f>$H330*K330</f>
      </c>
      <c r="AK330" s="18">
        <f>$H330*L330</f>
      </c>
      <c r="AL330" s="18">
        <f>$H330*M330</f>
      </c>
      <c r="AM330" s="14"/>
      <c r="AN330" s="14"/>
      <c r="AO330" s="14"/>
    </row>
    <row x14ac:dyDescent="0.25" r="331" customHeight="1" ht="17.25">
      <c r="A331" s="2" t="s">
        <v>722</v>
      </c>
      <c r="B331" s="2" t="s">
        <v>429</v>
      </c>
      <c r="C331" s="2" t="s">
        <v>40</v>
      </c>
      <c r="D331" s="2" t="s">
        <v>41</v>
      </c>
      <c r="E331" s="2" t="s">
        <v>52</v>
      </c>
      <c r="F331" s="2" t="s">
        <v>723</v>
      </c>
      <c r="G331" s="2" t="s">
        <v>643</v>
      </c>
      <c r="H331" s="13">
        <f>0.472+1.144+0.043+0.531+0.138+0.664+2.195+1.026+0.113+0.292+0.394+1.018+0.319+0.519+0.627+1.873+0.331+0.459+2.599+0.656+3.494+0.251+3.302+0.193+2.343+0.282</f>
      </c>
      <c r="I331" s="13">
        <f>(1.84*0.472+1.18*1.144+0.84*0.043+0.76*0.531+1.86*0.138+1.32*0.664+0.98*2.195+0.67*1.026+0.8*0.113+0.96*0.292+2.08*0.394+1.24*1.018+1.08*0.319+0.94*0.519+0.88*0.627+0.54*1.873+0.84*0.331+1.52*0.459+0.9*2.599+0.7*0.656+0.8*3.494+0.7*0.251+0.7*3.302+0.6*0.193+0.6*2.343+0.6*0.282)/$H331</f>
      </c>
      <c r="J331" s="13">
        <f>(2.68*0.472+2.74*1.144+2.12*0.043+1.87*0.531+1.88*0.138+1.92*0.664+2.37*2.195+2.46*1.026+1.69*0.113+1.9*0.292+2.14*0.394+1.76*1.018+2.86*0.319+2.62*0.519+1.97*0.627+2.52*1.873+2.18*0.331+1.74*0.459+3.1*2.599+2.6*0.656+3.1*3.494+2.5*0.251+2.8*3.302+2.3*0.193+2.4*2.343+2.2*0.282)/$H331</f>
      </c>
      <c r="K331" s="14"/>
      <c r="L331" s="13"/>
      <c r="M331" s="13"/>
      <c r="N331" s="15"/>
      <c r="O331" s="16"/>
      <c r="P331" s="13"/>
      <c r="Q331" s="13"/>
      <c r="R331" s="17"/>
      <c r="S331" s="13"/>
      <c r="T331" s="17"/>
      <c r="U331" s="13"/>
      <c r="V331" s="16"/>
      <c r="W331" s="13"/>
      <c r="X331" s="13"/>
      <c r="Y331" s="14"/>
      <c r="Z331" s="2"/>
      <c r="AA331" s="13">
        <f>H331*I331/100</f>
      </c>
      <c r="AB331" s="13">
        <f>H331*J331/100</f>
      </c>
      <c r="AC331" s="15">
        <f>H331*K331</f>
      </c>
      <c r="AD331" s="15">
        <f>H331*M331</f>
      </c>
      <c r="AE331" s="13">
        <f>H331*L331/100</f>
      </c>
      <c r="AF331" s="13">
        <f>AA331+AB331+AE331</f>
      </c>
      <c r="AG331" s="13">
        <f>I331+J331+L331</f>
      </c>
      <c r="AH331" s="18">
        <f>$H331*I331</f>
      </c>
      <c r="AI331" s="18">
        <f>$H331*J331</f>
      </c>
      <c r="AJ331" s="18">
        <f>$H331*K331</f>
      </c>
      <c r="AK331" s="18">
        <f>$H331*L331</f>
      </c>
      <c r="AL331" s="18">
        <f>$H331*M331</f>
      </c>
      <c r="AM331" s="14"/>
      <c r="AN331" s="14"/>
      <c r="AO331" s="14"/>
    </row>
    <row x14ac:dyDescent="0.25" r="332" customHeight="1" ht="17.25">
      <c r="A332" s="2" t="s">
        <v>724</v>
      </c>
      <c r="B332" s="2" t="s">
        <v>429</v>
      </c>
      <c r="C332" s="2" t="s">
        <v>56</v>
      </c>
      <c r="D332" s="2"/>
      <c r="E332" s="12" t="s">
        <v>42</v>
      </c>
      <c r="F332" s="2" t="s">
        <v>647</v>
      </c>
      <c r="G332" s="2" t="s">
        <v>598</v>
      </c>
      <c r="H332" s="13">
        <v>0.312</v>
      </c>
      <c r="I332" s="13">
        <v>2.5</v>
      </c>
      <c r="J332" s="13">
        <v>2.5</v>
      </c>
      <c r="K332" s="13">
        <v>390.8</v>
      </c>
      <c r="L332" s="13"/>
      <c r="M332" s="13">
        <v>3.81</v>
      </c>
      <c r="N332" s="15"/>
      <c r="O332" s="16"/>
      <c r="P332" s="13"/>
      <c r="Q332" s="13"/>
      <c r="R332" s="17"/>
      <c r="S332" s="13"/>
      <c r="T332" s="17"/>
      <c r="U332" s="13"/>
      <c r="V332" s="16"/>
      <c r="W332" s="13"/>
      <c r="X332" s="13"/>
      <c r="Y332" s="14"/>
      <c r="Z332" s="2"/>
      <c r="AA332" s="13">
        <f>H332*I332/100</f>
      </c>
      <c r="AB332" s="13">
        <f>H332*J332/100</f>
      </c>
      <c r="AC332" s="15">
        <f>H332*K332</f>
      </c>
      <c r="AD332" s="15">
        <f>H332*M332</f>
      </c>
      <c r="AE332" s="13">
        <f>H332*L332/100</f>
      </c>
      <c r="AF332" s="13">
        <f>AA332+AB332+AE332</f>
      </c>
      <c r="AG332" s="13">
        <f>I332+J332+L332</f>
      </c>
      <c r="AH332" s="18">
        <f>$H332*I332</f>
      </c>
      <c r="AI332" s="18">
        <f>$H332*J332</f>
      </c>
      <c r="AJ332" s="18">
        <f>$H332*K332</f>
      </c>
      <c r="AK332" s="18">
        <f>$H332*L332</f>
      </c>
      <c r="AL332" s="18">
        <f>$H332*M332</f>
      </c>
      <c r="AM332" s="14"/>
      <c r="AN332" s="14"/>
      <c r="AO332" s="14"/>
    </row>
    <row x14ac:dyDescent="0.25" r="333" customHeight="1" ht="17.25">
      <c r="A333" s="2" t="s">
        <v>725</v>
      </c>
      <c r="B333" s="2" t="s">
        <v>429</v>
      </c>
      <c r="C333" s="2" t="s">
        <v>50</v>
      </c>
      <c r="D333" s="2"/>
      <c r="E333" s="2" t="s">
        <v>52</v>
      </c>
      <c r="F333" s="2" t="s">
        <v>726</v>
      </c>
      <c r="G333" s="2" t="s">
        <v>727</v>
      </c>
      <c r="H333" s="13">
        <v>19.367</v>
      </c>
      <c r="I333" s="13">
        <v>0.02</v>
      </c>
      <c r="J333" s="13">
        <v>1.63</v>
      </c>
      <c r="K333" s="13">
        <v>15.42</v>
      </c>
      <c r="L333" s="13">
        <v>0.37</v>
      </c>
      <c r="M333" s="13">
        <v>0.95</v>
      </c>
      <c r="N333" s="15"/>
      <c r="O333" s="16"/>
      <c r="P333" s="13"/>
      <c r="Q333" s="13"/>
      <c r="R333" s="17"/>
      <c r="S333" s="13"/>
      <c r="T333" s="17"/>
      <c r="U333" s="13"/>
      <c r="V333" s="16"/>
      <c r="W333" s="13"/>
      <c r="X333" s="13"/>
      <c r="Y333" s="14"/>
      <c r="Z333" s="2"/>
      <c r="AA333" s="13">
        <f>H333*I333/100</f>
      </c>
      <c r="AB333" s="13">
        <f>H333*J333/100</f>
      </c>
      <c r="AC333" s="15">
        <f>H333*K333</f>
      </c>
      <c r="AD333" s="15">
        <f>H333*M333</f>
      </c>
      <c r="AE333" s="13">
        <f>H333*L333/100</f>
      </c>
      <c r="AF333" s="13">
        <f>AA333+AB333+AE333</f>
      </c>
      <c r="AG333" s="13">
        <f>I333+J333+L333</f>
      </c>
      <c r="AH333" s="18">
        <f>$H333*I333</f>
      </c>
      <c r="AI333" s="18">
        <f>$H333*J333</f>
      </c>
      <c r="AJ333" s="18">
        <f>$H333*K333</f>
      </c>
      <c r="AK333" s="18">
        <f>$H333*L333</f>
      </c>
      <c r="AL333" s="18">
        <f>$H333*M333</f>
      </c>
      <c r="AM333" s="14"/>
      <c r="AN333" s="14"/>
      <c r="AO333" s="14"/>
    </row>
    <row x14ac:dyDescent="0.25" r="334" customHeight="1" ht="17.25">
      <c r="A334" s="2" t="s">
        <v>728</v>
      </c>
      <c r="B334" s="2" t="s">
        <v>429</v>
      </c>
      <c r="C334" s="2" t="s">
        <v>40</v>
      </c>
      <c r="D334" s="2" t="s">
        <v>41</v>
      </c>
      <c r="E334" s="12" t="s">
        <v>42</v>
      </c>
      <c r="F334" s="2" t="s">
        <v>43</v>
      </c>
      <c r="G334" s="2" t="s">
        <v>546</v>
      </c>
      <c r="H334" s="13">
        <f>26-20.1</f>
      </c>
      <c r="I334" s="15">
        <f>(3.7*26-3.6*20.1)/$H334</f>
      </c>
      <c r="J334" s="15">
        <f>(13.9*26-13.4*20.1)/$H334</f>
      </c>
      <c r="K334" s="14"/>
      <c r="L334" s="13"/>
      <c r="M334" s="13"/>
      <c r="N334" s="15"/>
      <c r="O334" s="16"/>
      <c r="P334" s="13"/>
      <c r="Q334" s="13"/>
      <c r="R334" s="17"/>
      <c r="S334" s="13"/>
      <c r="T334" s="17"/>
      <c r="U334" s="13"/>
      <c r="V334" s="16"/>
      <c r="W334" s="13"/>
      <c r="X334" s="13"/>
      <c r="Y334" s="14"/>
      <c r="Z334" s="2"/>
      <c r="AA334" s="13">
        <f>H334*I334/100</f>
      </c>
      <c r="AB334" s="13">
        <f>H334*J334/100</f>
      </c>
      <c r="AC334" s="15">
        <f>H334*K334</f>
      </c>
      <c r="AD334" s="15">
        <f>H334*M334</f>
      </c>
      <c r="AE334" s="13">
        <f>H334*L334/100</f>
      </c>
      <c r="AF334" s="13">
        <f>AA334+AB334+AE334</f>
      </c>
      <c r="AG334" s="13">
        <f>I334+J334+L334</f>
      </c>
      <c r="AH334" s="18">
        <f>$H334*I334</f>
      </c>
      <c r="AI334" s="18">
        <f>$H334*J334</f>
      </c>
      <c r="AJ334" s="18">
        <f>$H334*K334</f>
      </c>
      <c r="AK334" s="18">
        <f>$H334*L334</f>
      </c>
      <c r="AL334" s="18">
        <f>$H334*M334</f>
      </c>
      <c r="AM334" s="14"/>
      <c r="AN334" s="14"/>
      <c r="AO334" s="14"/>
    </row>
    <row x14ac:dyDescent="0.25" r="335" customHeight="1" ht="17.25">
      <c r="A335" s="2" t="s">
        <v>729</v>
      </c>
      <c r="B335" s="2" t="s">
        <v>429</v>
      </c>
      <c r="C335" s="2" t="s">
        <v>56</v>
      </c>
      <c r="D335" s="2"/>
      <c r="E335" s="12" t="s">
        <v>42</v>
      </c>
      <c r="F335" s="2" t="s">
        <v>43</v>
      </c>
      <c r="G335" s="2" t="s">
        <v>440</v>
      </c>
      <c r="H335" s="16">
        <v>0.8264</v>
      </c>
      <c r="I335" s="14">
        <v>5</v>
      </c>
      <c r="J335" s="14">
        <v>5</v>
      </c>
      <c r="K335" s="13">
        <v>668.5</v>
      </c>
      <c r="L335" s="13"/>
      <c r="M335" s="13"/>
      <c r="N335" s="15"/>
      <c r="O335" s="16"/>
      <c r="P335" s="13"/>
      <c r="Q335" s="13"/>
      <c r="R335" s="17"/>
      <c r="S335" s="13"/>
      <c r="T335" s="17"/>
      <c r="U335" s="13"/>
      <c r="V335" s="16"/>
      <c r="W335" s="13"/>
      <c r="X335" s="13"/>
      <c r="Y335" s="14"/>
      <c r="Z335" s="2"/>
      <c r="AA335" s="13">
        <f>H335*I335/100</f>
      </c>
      <c r="AB335" s="13">
        <f>H335*J335/100</f>
      </c>
      <c r="AC335" s="15">
        <f>H335*K335</f>
      </c>
      <c r="AD335" s="15">
        <f>H335*M335</f>
      </c>
      <c r="AE335" s="13">
        <f>H335*L335/100</f>
      </c>
      <c r="AF335" s="13">
        <f>AA335+AB335+AE335</f>
      </c>
      <c r="AG335" s="13">
        <f>I335+J335+L335</f>
      </c>
      <c r="AH335" s="18">
        <f>$H335*I335</f>
      </c>
      <c r="AI335" s="18">
        <f>$H335*J335</f>
      </c>
      <c r="AJ335" s="18">
        <f>$H335*K335</f>
      </c>
      <c r="AK335" s="18">
        <f>$H335*L335</f>
      </c>
      <c r="AL335" s="18">
        <f>$H335*M335</f>
      </c>
      <c r="AM335" s="14"/>
      <c r="AN335" s="14"/>
      <c r="AO335" s="14"/>
    </row>
    <row x14ac:dyDescent="0.25" r="336" customHeight="1" ht="17.25">
      <c r="A336" s="2" t="s">
        <v>730</v>
      </c>
      <c r="B336" s="2" t="s">
        <v>429</v>
      </c>
      <c r="C336" s="2" t="s">
        <v>56</v>
      </c>
      <c r="D336" s="2"/>
      <c r="E336" s="12" t="s">
        <v>42</v>
      </c>
      <c r="F336" s="2" t="s">
        <v>43</v>
      </c>
      <c r="G336" s="2" t="s">
        <v>440</v>
      </c>
      <c r="H336" s="16">
        <f>0.118+0.01116+0.018+0.000327</f>
      </c>
      <c r="I336" s="13">
        <f>(3*0.118+1.58*0.01116+2.1*0.018+0*0.000327)/$H336</f>
      </c>
      <c r="J336" s="13">
        <f>(0*0.118+1.87*0.01116+2.1*0.018+0*0.000327)/$H336</f>
      </c>
      <c r="K336" s="17">
        <f>(120*0.118+208*0.01116+31*0.018+2057*0.000327)/$H336</f>
      </c>
      <c r="L336" s="13"/>
      <c r="M336" s="13">
        <f>(0.69*0.118+2.23*0.01116+0.27*0.018+0*0.000327)/$H336</f>
      </c>
      <c r="N336" s="15"/>
      <c r="O336" s="16"/>
      <c r="P336" s="13"/>
      <c r="Q336" s="13"/>
      <c r="R336" s="17"/>
      <c r="S336" s="13"/>
      <c r="T336" s="17"/>
      <c r="U336" s="13"/>
      <c r="V336" s="16"/>
      <c r="W336" s="13"/>
      <c r="X336" s="13"/>
      <c r="Y336" s="14"/>
      <c r="Z336" s="2"/>
      <c r="AA336" s="13">
        <f>H336*I336/100</f>
      </c>
      <c r="AB336" s="13">
        <f>H336*J336/100</f>
      </c>
      <c r="AC336" s="15">
        <f>H336*K336</f>
      </c>
      <c r="AD336" s="15">
        <f>H336*M336</f>
      </c>
      <c r="AE336" s="13">
        <f>H336*L336/100</f>
      </c>
      <c r="AF336" s="13">
        <f>AA336+AB336+AE336</f>
      </c>
      <c r="AG336" s="13">
        <f>I336+J336+L336</f>
      </c>
      <c r="AH336" s="18">
        <f>$H336*I336</f>
      </c>
      <c r="AI336" s="18">
        <f>$H336*J336</f>
      </c>
      <c r="AJ336" s="18">
        <f>$H336*K336</f>
      </c>
      <c r="AK336" s="18">
        <f>$H336*L336</f>
      </c>
      <c r="AL336" s="18">
        <f>$H336*M336</f>
      </c>
      <c r="AM336" s="14"/>
      <c r="AN336" s="14"/>
      <c r="AO336" s="14"/>
    </row>
    <row x14ac:dyDescent="0.25" r="337" customHeight="1" ht="17.25">
      <c r="A337" s="2" t="s">
        <v>731</v>
      </c>
      <c r="B337" s="2" t="s">
        <v>429</v>
      </c>
      <c r="C337" s="2" t="s">
        <v>40</v>
      </c>
      <c r="D337" s="2" t="s">
        <v>41</v>
      </c>
      <c r="E337" s="2" t="s">
        <v>52</v>
      </c>
      <c r="F337" s="2" t="s">
        <v>732</v>
      </c>
      <c r="G337" s="2" t="s">
        <v>733</v>
      </c>
      <c r="H337" s="16">
        <f>1.7+3.731+6.239</f>
      </c>
      <c r="I337" s="15">
        <f>(9.7*1.7+10.5*3.731+11.5*6.239)/$H337</f>
      </c>
      <c r="J337" s="15">
        <f>(12.1*1.7+10.2*3.731+14.5*6.239)/$H337</f>
      </c>
      <c r="K337" s="17">
        <f>(155*1.7+162*3.731+229*6.239)/$H337</f>
      </c>
      <c r="L337" s="13">
        <f>(0.28*1.7+0.32*3.731+0.57*6.239)/$H337</f>
      </c>
      <c r="M337" s="13"/>
      <c r="N337" s="15"/>
      <c r="O337" s="16"/>
      <c r="P337" s="13"/>
      <c r="Q337" s="13"/>
      <c r="R337" s="17"/>
      <c r="S337" s="13"/>
      <c r="T337" s="17"/>
      <c r="U337" s="13"/>
      <c r="V337" s="16"/>
      <c r="W337" s="13"/>
      <c r="X337" s="13"/>
      <c r="Y337" s="14"/>
      <c r="Z337" s="2"/>
      <c r="AA337" s="13">
        <f>H337*I337/100</f>
      </c>
      <c r="AB337" s="13">
        <f>H337*J337/100</f>
      </c>
      <c r="AC337" s="15">
        <f>H337*K337</f>
      </c>
      <c r="AD337" s="15">
        <f>H337*M337</f>
      </c>
      <c r="AE337" s="13">
        <f>H337*L337/100</f>
      </c>
      <c r="AF337" s="13">
        <f>AA337+AB337+AE337</f>
      </c>
      <c r="AG337" s="13">
        <f>I337+J337+L337</f>
      </c>
      <c r="AH337" s="18">
        <f>$H337*I337</f>
      </c>
      <c r="AI337" s="18">
        <f>$H337*J337</f>
      </c>
      <c r="AJ337" s="18">
        <f>$H337*K337</f>
      </c>
      <c r="AK337" s="18">
        <f>$H337*L337</f>
      </c>
      <c r="AL337" s="18">
        <f>$H337*M337</f>
      </c>
      <c r="AM337" s="14"/>
      <c r="AN337" s="14"/>
      <c r="AO337" s="14"/>
    </row>
    <row x14ac:dyDescent="0.25" r="338" customHeight="1" ht="17.25">
      <c r="A338" s="2" t="s">
        <v>734</v>
      </c>
      <c r="B338" s="2" t="s">
        <v>429</v>
      </c>
      <c r="C338" s="2" t="s">
        <v>56</v>
      </c>
      <c r="D338" s="2"/>
      <c r="E338" s="12" t="s">
        <v>42</v>
      </c>
      <c r="F338" s="2" t="s">
        <v>43</v>
      </c>
      <c r="G338" s="2" t="s">
        <v>440</v>
      </c>
      <c r="H338" s="16">
        <f>0.347381+0.011295+0.000816</f>
      </c>
      <c r="I338" s="15">
        <f>(4.93*0.347381+1.8*0.011295+6.2*0.000816)/$H338</f>
      </c>
      <c r="J338" s="13"/>
      <c r="K338" s="15">
        <f>(39.42*0.347381+148.1*0.011295+970.3*0.000816)/$H338</f>
      </c>
      <c r="L338" s="15">
        <f>(1.5*0.347381+1.9*0.011295+4.2*0.000816)/$H338</f>
      </c>
      <c r="M338" s="13"/>
      <c r="N338" s="15"/>
      <c r="O338" s="16"/>
      <c r="P338" s="13"/>
      <c r="Q338" s="13"/>
      <c r="R338" s="17"/>
      <c r="S338" s="13"/>
      <c r="T338" s="17"/>
      <c r="U338" s="13"/>
      <c r="V338" s="16"/>
      <c r="W338" s="13"/>
      <c r="X338" s="13"/>
      <c r="Y338" s="14"/>
      <c r="Z338" s="2"/>
      <c r="AA338" s="13">
        <f>H338*I338/100</f>
      </c>
      <c r="AB338" s="13">
        <f>H338*J338/100</f>
      </c>
      <c r="AC338" s="15">
        <f>H338*K338</f>
      </c>
      <c r="AD338" s="15">
        <f>H338*M338</f>
      </c>
      <c r="AE338" s="13">
        <f>H338*L338/100</f>
      </c>
      <c r="AF338" s="13">
        <f>AA338+AB338+AE338</f>
      </c>
      <c r="AG338" s="13">
        <f>I338+J338+L338</f>
      </c>
      <c r="AH338" s="18">
        <f>$H338*I338</f>
      </c>
      <c r="AI338" s="18">
        <f>$H338*J338</f>
      </c>
      <c r="AJ338" s="18">
        <f>$H338*K338</f>
      </c>
      <c r="AK338" s="18">
        <f>$H338*L338</f>
      </c>
      <c r="AL338" s="18">
        <f>$H338*M338</f>
      </c>
      <c r="AM338" s="14"/>
      <c r="AN338" s="14"/>
      <c r="AO338" s="14"/>
    </row>
    <row x14ac:dyDescent="0.25" r="339" customHeight="1" ht="17.25">
      <c r="A339" s="2" t="s">
        <v>735</v>
      </c>
      <c r="B339" s="2" t="s">
        <v>429</v>
      </c>
      <c r="C339" s="2" t="s">
        <v>50</v>
      </c>
      <c r="D339" s="2"/>
      <c r="E339" s="12" t="s">
        <v>42</v>
      </c>
      <c r="F339" s="2" t="s">
        <v>736</v>
      </c>
      <c r="G339" s="2" t="s">
        <v>737</v>
      </c>
      <c r="H339" s="13">
        <v>0.375</v>
      </c>
      <c r="I339" s="13">
        <v>4.8</v>
      </c>
      <c r="J339" s="13">
        <v>6.1</v>
      </c>
      <c r="K339" s="14">
        <v>55</v>
      </c>
      <c r="L339" s="13">
        <v>0.5</v>
      </c>
      <c r="M339" s="15">
        <v>4</v>
      </c>
      <c r="N339" s="15"/>
      <c r="O339" s="16"/>
      <c r="P339" s="13"/>
      <c r="Q339" s="13"/>
      <c r="R339" s="17"/>
      <c r="S339" s="13"/>
      <c r="T339" s="17"/>
      <c r="U339" s="13"/>
      <c r="V339" s="16"/>
      <c r="W339" s="13"/>
      <c r="X339" s="13"/>
      <c r="Y339" s="14"/>
      <c r="Z339" s="2"/>
      <c r="AA339" s="13">
        <f>H339*I339/100</f>
      </c>
      <c r="AB339" s="13">
        <f>H339*J339/100</f>
      </c>
      <c r="AC339" s="15">
        <f>H339*K339</f>
      </c>
      <c r="AD339" s="15">
        <f>H339*M339</f>
      </c>
      <c r="AE339" s="13">
        <f>H339*L339/100</f>
      </c>
      <c r="AF339" s="13">
        <f>AA339+AB339+AE339</f>
      </c>
      <c r="AG339" s="13">
        <f>I339+J339+L339</f>
      </c>
      <c r="AH339" s="18">
        <f>$H339*I339</f>
      </c>
      <c r="AI339" s="18">
        <f>$H339*J339</f>
      </c>
      <c r="AJ339" s="18">
        <f>$H339*K339</f>
      </c>
      <c r="AK339" s="18">
        <f>$H339*L339</f>
      </c>
      <c r="AL339" s="18">
        <f>$H339*M339</f>
      </c>
      <c r="AM339" s="14"/>
      <c r="AN339" s="14"/>
      <c r="AO339" s="14"/>
    </row>
    <row x14ac:dyDescent="0.25" r="340" customHeight="1" ht="17.25">
      <c r="A340" s="2" t="s">
        <v>738</v>
      </c>
      <c r="B340" s="2" t="s">
        <v>429</v>
      </c>
      <c r="C340" s="2" t="s">
        <v>40</v>
      </c>
      <c r="D340" s="2" t="s">
        <v>41</v>
      </c>
      <c r="E340" s="12" t="s">
        <v>42</v>
      </c>
      <c r="F340" s="2" t="s">
        <v>43</v>
      </c>
      <c r="G340" s="2" t="s">
        <v>440</v>
      </c>
      <c r="H340" s="16">
        <v>2.17704</v>
      </c>
      <c r="I340" s="13">
        <v>6.5</v>
      </c>
      <c r="J340" s="15">
        <v>18.5</v>
      </c>
      <c r="K340" s="13">
        <v>68.5</v>
      </c>
      <c r="L340" s="13"/>
      <c r="M340" s="13"/>
      <c r="N340" s="15"/>
      <c r="O340" s="16"/>
      <c r="P340" s="13"/>
      <c r="Q340" s="13"/>
      <c r="R340" s="17"/>
      <c r="S340" s="13"/>
      <c r="T340" s="17"/>
      <c r="U340" s="13"/>
      <c r="V340" s="16"/>
      <c r="W340" s="13"/>
      <c r="X340" s="13"/>
      <c r="Y340" s="14"/>
      <c r="Z340" s="2"/>
      <c r="AA340" s="13">
        <f>H340*I340/100</f>
      </c>
      <c r="AB340" s="13">
        <f>H340*J340/100</f>
      </c>
      <c r="AC340" s="15">
        <f>H340*K340</f>
      </c>
      <c r="AD340" s="15">
        <f>H340*M340</f>
      </c>
      <c r="AE340" s="13">
        <f>H340*L340/100</f>
      </c>
      <c r="AF340" s="13">
        <f>AA340+AB340+AE340</f>
      </c>
      <c r="AG340" s="13">
        <f>I340+J340+L340</f>
      </c>
      <c r="AH340" s="18">
        <f>$H340*I340</f>
      </c>
      <c r="AI340" s="18">
        <f>$H340*J340</f>
      </c>
      <c r="AJ340" s="18">
        <f>$H340*K340</f>
      </c>
      <c r="AK340" s="18">
        <f>$H340*L340</f>
      </c>
      <c r="AL340" s="18">
        <f>$H340*M340</f>
      </c>
      <c r="AM340" s="14"/>
      <c r="AN340" s="14"/>
      <c r="AO340" s="14"/>
    </row>
    <row x14ac:dyDescent="0.25" r="341" customHeight="1" ht="17.25">
      <c r="A341" s="2" t="s">
        <v>739</v>
      </c>
      <c r="B341" s="2" t="s">
        <v>429</v>
      </c>
      <c r="C341" s="2" t="s">
        <v>40</v>
      </c>
      <c r="D341" s="2" t="s">
        <v>64</v>
      </c>
      <c r="E341" s="12" t="s">
        <v>42</v>
      </c>
      <c r="F341" s="2" t="s">
        <v>43</v>
      </c>
      <c r="G341" s="2" t="s">
        <v>46</v>
      </c>
      <c r="H341" s="13">
        <v>5.8</v>
      </c>
      <c r="I341" s="13">
        <v>0.98</v>
      </c>
      <c r="J341" s="13">
        <v>3.42</v>
      </c>
      <c r="K341" s="13">
        <v>3.4</v>
      </c>
      <c r="L341" s="13"/>
      <c r="M341" s="13"/>
      <c r="N341" s="15"/>
      <c r="O341" s="16"/>
      <c r="P341" s="13"/>
      <c r="Q341" s="13"/>
      <c r="R341" s="17"/>
      <c r="S341" s="13"/>
      <c r="T341" s="17"/>
      <c r="U341" s="13"/>
      <c r="V341" s="16"/>
      <c r="W341" s="13"/>
      <c r="X341" s="13"/>
      <c r="Y341" s="14"/>
      <c r="Z341" s="2"/>
      <c r="AA341" s="13">
        <f>H341*I341/100</f>
      </c>
      <c r="AB341" s="13">
        <f>H341*J341/100</f>
      </c>
      <c r="AC341" s="15">
        <f>H341*K341</f>
      </c>
      <c r="AD341" s="15">
        <f>H341*M341</f>
      </c>
      <c r="AE341" s="13">
        <f>H341*L341/100</f>
      </c>
      <c r="AF341" s="13">
        <f>AA341+AB341+AE341</f>
      </c>
      <c r="AG341" s="13">
        <f>I341+J341+L341</f>
      </c>
      <c r="AH341" s="18">
        <f>$H341*I341</f>
      </c>
      <c r="AI341" s="18">
        <f>$H341*J341</f>
      </c>
      <c r="AJ341" s="18">
        <f>$H341*K341</f>
      </c>
      <c r="AK341" s="18">
        <f>$H341*L341</f>
      </c>
      <c r="AL341" s="18">
        <f>$H341*M341</f>
      </c>
      <c r="AM341" s="14"/>
      <c r="AN341" s="14"/>
      <c r="AO341" s="14"/>
    </row>
    <row x14ac:dyDescent="0.25" r="342" customHeight="1" ht="17.25">
      <c r="A342" s="2" t="s">
        <v>740</v>
      </c>
      <c r="B342" s="2" t="s">
        <v>429</v>
      </c>
      <c r="C342" s="2" t="s">
        <v>50</v>
      </c>
      <c r="D342" s="2"/>
      <c r="E342" s="12" t="s">
        <v>42</v>
      </c>
      <c r="F342" s="2" t="s">
        <v>580</v>
      </c>
      <c r="G342" s="2" t="s">
        <v>617</v>
      </c>
      <c r="H342" s="13">
        <v>0.48</v>
      </c>
      <c r="I342" s="13"/>
      <c r="J342" s="13">
        <v>7.97</v>
      </c>
      <c r="K342" s="13">
        <v>23.3</v>
      </c>
      <c r="L342" s="13">
        <v>0.4</v>
      </c>
      <c r="M342" s="13">
        <v>1.9</v>
      </c>
      <c r="N342" s="15"/>
      <c r="O342" s="16"/>
      <c r="P342" s="13"/>
      <c r="Q342" s="13"/>
      <c r="R342" s="17"/>
      <c r="S342" s="13"/>
      <c r="T342" s="17"/>
      <c r="U342" s="13"/>
      <c r="V342" s="16"/>
      <c r="W342" s="13"/>
      <c r="X342" s="13"/>
      <c r="Y342" s="14"/>
      <c r="Z342" s="2"/>
      <c r="AA342" s="13">
        <f>H342*I342/100</f>
      </c>
      <c r="AB342" s="13">
        <f>H342*J342/100</f>
      </c>
      <c r="AC342" s="15">
        <f>H342*K342</f>
      </c>
      <c r="AD342" s="15">
        <f>H342*M342</f>
      </c>
      <c r="AE342" s="13">
        <f>H342*L342/100</f>
      </c>
      <c r="AF342" s="13">
        <f>AA342+AB342+AE342</f>
      </c>
      <c r="AG342" s="13">
        <f>I342+J342+L342</f>
      </c>
      <c r="AH342" s="18">
        <f>$H342*I342</f>
      </c>
      <c r="AI342" s="18">
        <f>$H342*J342</f>
      </c>
      <c r="AJ342" s="18">
        <f>$H342*K342</f>
      </c>
      <c r="AK342" s="18">
        <f>$H342*L342</f>
      </c>
      <c r="AL342" s="18">
        <f>$H342*M342</f>
      </c>
      <c r="AM342" s="14"/>
      <c r="AN342" s="14"/>
      <c r="AO342" s="14"/>
    </row>
    <row x14ac:dyDescent="0.25" r="343" customHeight="1" ht="17.25">
      <c r="A343" s="2" t="s">
        <v>741</v>
      </c>
      <c r="B343" s="2" t="s">
        <v>429</v>
      </c>
      <c r="C343" s="2" t="s">
        <v>40</v>
      </c>
      <c r="D343" s="2" t="s">
        <v>64</v>
      </c>
      <c r="E343" s="12" t="s">
        <v>42</v>
      </c>
      <c r="F343" s="2" t="s">
        <v>742</v>
      </c>
      <c r="G343" s="2" t="s">
        <v>440</v>
      </c>
      <c r="H343" s="16">
        <v>2.605826</v>
      </c>
      <c r="I343" s="13">
        <v>5.1</v>
      </c>
      <c r="J343" s="13">
        <v>5.6</v>
      </c>
      <c r="K343" s="13">
        <v>37.7</v>
      </c>
      <c r="L343" s="13"/>
      <c r="M343" s="13"/>
      <c r="N343" s="15"/>
      <c r="O343" s="16"/>
      <c r="P343" s="13"/>
      <c r="Q343" s="13"/>
      <c r="R343" s="17"/>
      <c r="S343" s="13"/>
      <c r="T343" s="17"/>
      <c r="U343" s="13"/>
      <c r="V343" s="16"/>
      <c r="W343" s="13"/>
      <c r="X343" s="13"/>
      <c r="Y343" s="14"/>
      <c r="Z343" s="2"/>
      <c r="AA343" s="13">
        <f>H343*I343/100</f>
      </c>
      <c r="AB343" s="13">
        <f>H343*J343/100</f>
      </c>
      <c r="AC343" s="15">
        <f>H343*K343</f>
      </c>
      <c r="AD343" s="15">
        <f>H343*M343</f>
      </c>
      <c r="AE343" s="13">
        <f>H343*L343/100</f>
      </c>
      <c r="AF343" s="13">
        <f>AA343+AB343+AE343</f>
      </c>
      <c r="AG343" s="13">
        <f>I343+J343+L343</f>
      </c>
      <c r="AH343" s="18">
        <f>$H343*I343</f>
      </c>
      <c r="AI343" s="18">
        <f>$H343*J343</f>
      </c>
      <c r="AJ343" s="18">
        <f>$H343*K343</f>
      </c>
      <c r="AK343" s="18">
        <f>$H343*L343</f>
      </c>
      <c r="AL343" s="18">
        <f>$H343*M343</f>
      </c>
      <c r="AM343" s="14"/>
      <c r="AN343" s="14"/>
      <c r="AO343" s="14"/>
    </row>
    <row x14ac:dyDescent="0.25" r="344" customHeight="1" ht="17.25">
      <c r="A344" s="2" t="s">
        <v>743</v>
      </c>
      <c r="B344" s="2" t="s">
        <v>429</v>
      </c>
      <c r="C344" s="2" t="s">
        <v>40</v>
      </c>
      <c r="D344" s="2" t="s">
        <v>41</v>
      </c>
      <c r="E344" s="12" t="s">
        <v>42</v>
      </c>
      <c r="F344" s="2" t="s">
        <v>43</v>
      </c>
      <c r="G344" s="2" t="s">
        <v>744</v>
      </c>
      <c r="H344" s="13">
        <v>20.13762</v>
      </c>
      <c r="I344" s="15">
        <f>5/3</f>
      </c>
      <c r="J344" s="15">
        <f>5*(2/3)</f>
      </c>
      <c r="K344" s="14"/>
      <c r="L344" s="13"/>
      <c r="M344" s="13"/>
      <c r="N344" s="15"/>
      <c r="O344" s="16"/>
      <c r="P344" s="13"/>
      <c r="Q344" s="13"/>
      <c r="R344" s="17"/>
      <c r="S344" s="13"/>
      <c r="T344" s="17"/>
      <c r="U344" s="13"/>
      <c r="V344" s="16"/>
      <c r="W344" s="13"/>
      <c r="X344" s="13"/>
      <c r="Y344" s="14"/>
      <c r="Z344" s="2"/>
      <c r="AA344" s="13">
        <f>H344*I344/100</f>
      </c>
      <c r="AB344" s="13">
        <f>H344*J344/100</f>
      </c>
      <c r="AC344" s="15">
        <f>H344*K344</f>
      </c>
      <c r="AD344" s="15">
        <f>H344*M344</f>
      </c>
      <c r="AE344" s="13">
        <f>H344*L344/100</f>
      </c>
      <c r="AF344" s="13">
        <f>AA344+AB344+AE344</f>
      </c>
      <c r="AG344" s="13">
        <f>I344+J344+L344</f>
      </c>
      <c r="AH344" s="18">
        <f>$H344*I344</f>
      </c>
      <c r="AI344" s="18">
        <f>$H344*J344</f>
      </c>
      <c r="AJ344" s="18">
        <f>$H344*K344</f>
      </c>
      <c r="AK344" s="18">
        <f>$H344*L344</f>
      </c>
      <c r="AL344" s="18">
        <f>$H344*M344</f>
      </c>
      <c r="AM344" s="14"/>
      <c r="AN344" s="14"/>
      <c r="AO344" s="14"/>
    </row>
    <row x14ac:dyDescent="0.25" r="345" customHeight="1" ht="17.25">
      <c r="A345" s="2" t="s">
        <v>745</v>
      </c>
      <c r="B345" s="2" t="s">
        <v>429</v>
      </c>
      <c r="C345" s="2" t="s">
        <v>50</v>
      </c>
      <c r="D345" s="2"/>
      <c r="E345" s="12" t="s">
        <v>42</v>
      </c>
      <c r="F345" s="2" t="s">
        <v>607</v>
      </c>
      <c r="G345" s="2" t="s">
        <v>608</v>
      </c>
      <c r="H345" s="15">
        <v>1</v>
      </c>
      <c r="I345" s="13"/>
      <c r="J345" s="13">
        <v>2.06</v>
      </c>
      <c r="K345" s="14"/>
      <c r="L345" s="13">
        <v>1.97</v>
      </c>
      <c r="M345" s="13"/>
      <c r="N345" s="15"/>
      <c r="O345" s="16"/>
      <c r="P345" s="13"/>
      <c r="Q345" s="13"/>
      <c r="R345" s="17"/>
      <c r="S345" s="13"/>
      <c r="T345" s="17"/>
      <c r="U345" s="13"/>
      <c r="V345" s="16"/>
      <c r="W345" s="13"/>
      <c r="X345" s="13"/>
      <c r="Y345" s="14"/>
      <c r="Z345" s="2"/>
      <c r="AA345" s="13">
        <f>H345*I345/100</f>
      </c>
      <c r="AB345" s="13">
        <f>H345*J345/100</f>
      </c>
      <c r="AC345" s="15">
        <f>H345*K345</f>
      </c>
      <c r="AD345" s="15">
        <f>H345*M345</f>
      </c>
      <c r="AE345" s="13">
        <f>H345*L345/100</f>
      </c>
      <c r="AF345" s="13">
        <f>AA345+AB345+AE345</f>
      </c>
      <c r="AG345" s="13">
        <f>I345+J345+L345</f>
      </c>
      <c r="AH345" s="18">
        <f>$H345*I345</f>
      </c>
      <c r="AI345" s="18">
        <f>$H345*J345</f>
      </c>
      <c r="AJ345" s="18">
        <f>$H345*K345</f>
      </c>
      <c r="AK345" s="18">
        <f>$H345*L345</f>
      </c>
      <c r="AL345" s="18">
        <f>$H345*M345</f>
      </c>
      <c r="AM345" s="14"/>
      <c r="AN345" s="14"/>
      <c r="AO345" s="14"/>
    </row>
    <row x14ac:dyDescent="0.25" r="346" customHeight="1" ht="17.25">
      <c r="A346" s="2" t="s">
        <v>746</v>
      </c>
      <c r="B346" s="2" t="s">
        <v>429</v>
      </c>
      <c r="C346" s="2" t="s">
        <v>50</v>
      </c>
      <c r="D346" s="2"/>
      <c r="E346" s="2" t="s">
        <v>52</v>
      </c>
      <c r="F346" s="2" t="s">
        <v>747</v>
      </c>
      <c r="G346" s="2" t="s">
        <v>748</v>
      </c>
      <c r="H346" s="16">
        <v>2.313918</v>
      </c>
      <c r="I346" s="13">
        <v>0.21</v>
      </c>
      <c r="J346" s="13">
        <v>0.88</v>
      </c>
      <c r="K346" s="13">
        <v>77.6</v>
      </c>
      <c r="L346" s="13">
        <v>0.21</v>
      </c>
      <c r="M346" s="13">
        <v>0.64</v>
      </c>
      <c r="N346" s="15"/>
      <c r="O346" s="16"/>
      <c r="P346" s="13"/>
      <c r="Q346" s="13"/>
      <c r="R346" s="17"/>
      <c r="S346" s="13"/>
      <c r="T346" s="17"/>
      <c r="U346" s="13"/>
      <c r="V346" s="16"/>
      <c r="W346" s="13"/>
      <c r="X346" s="13"/>
      <c r="Y346" s="14"/>
      <c r="Z346" s="2"/>
      <c r="AA346" s="13">
        <f>H346*I346/100</f>
      </c>
      <c r="AB346" s="13">
        <f>H346*J346/100</f>
      </c>
      <c r="AC346" s="15">
        <f>H346*K346</f>
      </c>
      <c r="AD346" s="15">
        <f>H346*M346</f>
      </c>
      <c r="AE346" s="13">
        <f>H346*L346/100</f>
      </c>
      <c r="AF346" s="13">
        <f>AA346+AB346+AE346</f>
      </c>
      <c r="AG346" s="13">
        <f>I346+J346+L346</f>
      </c>
      <c r="AH346" s="18">
        <f>$H346*I346</f>
      </c>
      <c r="AI346" s="18">
        <f>$H346*J346</f>
      </c>
      <c r="AJ346" s="18">
        <f>$H346*K346</f>
      </c>
      <c r="AK346" s="18">
        <f>$H346*L346</f>
      </c>
      <c r="AL346" s="18">
        <f>$H346*M346</f>
      </c>
      <c r="AM346" s="14"/>
      <c r="AN346" s="14"/>
      <c r="AO346" s="14"/>
    </row>
    <row x14ac:dyDescent="0.25" r="347" customHeight="1" ht="17.25">
      <c r="A347" s="2" t="s">
        <v>749</v>
      </c>
      <c r="B347" s="2" t="s">
        <v>429</v>
      </c>
      <c r="C347" s="2" t="s">
        <v>50</v>
      </c>
      <c r="D347" s="2"/>
      <c r="E347" s="12" t="s">
        <v>42</v>
      </c>
      <c r="F347" s="2" t="s">
        <v>675</v>
      </c>
      <c r="G347" s="2" t="s">
        <v>750</v>
      </c>
      <c r="H347" s="13">
        <f>0.279*0.9072</f>
      </c>
      <c r="I347" s="13"/>
      <c r="J347" s="13">
        <v>4.38</v>
      </c>
      <c r="K347" s="13">
        <v>42.16</v>
      </c>
      <c r="L347" s="13">
        <v>0.77</v>
      </c>
      <c r="M347" s="13"/>
      <c r="N347" s="15"/>
      <c r="O347" s="16"/>
      <c r="P347" s="13"/>
      <c r="Q347" s="13"/>
      <c r="R347" s="17"/>
      <c r="S347" s="13"/>
      <c r="T347" s="17"/>
      <c r="U347" s="13"/>
      <c r="V347" s="16"/>
      <c r="W347" s="13"/>
      <c r="X347" s="13"/>
      <c r="Y347" s="14"/>
      <c r="Z347" s="2"/>
      <c r="AA347" s="13">
        <f>H347*I347/100</f>
      </c>
      <c r="AB347" s="13">
        <f>H347*J347/100</f>
      </c>
      <c r="AC347" s="15">
        <f>H347*K347</f>
      </c>
      <c r="AD347" s="15">
        <f>H347*M347</f>
      </c>
      <c r="AE347" s="13">
        <f>H347*L347/100</f>
      </c>
      <c r="AF347" s="13">
        <f>AA347+AB347+AE347</f>
      </c>
      <c r="AG347" s="13">
        <f>I347+J347+L347</f>
      </c>
      <c r="AH347" s="18">
        <f>$H347*I347</f>
      </c>
      <c r="AI347" s="18">
        <f>$H347*J347</f>
      </c>
      <c r="AJ347" s="18">
        <f>$H347*K347</f>
      </c>
      <c r="AK347" s="18">
        <f>$H347*L347</f>
      </c>
      <c r="AL347" s="18">
        <f>$H347*M347</f>
      </c>
      <c r="AM347" s="14"/>
      <c r="AN347" s="14"/>
      <c r="AO347" s="14"/>
    </row>
    <row x14ac:dyDescent="0.25" r="348" customHeight="1" ht="17.25">
      <c r="A348" s="2" t="s">
        <v>751</v>
      </c>
      <c r="B348" s="2" t="s">
        <v>429</v>
      </c>
      <c r="C348" s="2" t="s">
        <v>50</v>
      </c>
      <c r="D348" s="2"/>
      <c r="E348" s="12" t="s">
        <v>42</v>
      </c>
      <c r="F348" s="2" t="s">
        <v>675</v>
      </c>
      <c r="G348" s="2" t="s">
        <v>750</v>
      </c>
      <c r="H348" s="13">
        <f>0.109*0.9072</f>
      </c>
      <c r="I348" s="13">
        <v>0.61</v>
      </c>
      <c r="J348" s="13">
        <v>5.2</v>
      </c>
      <c r="K348" s="14"/>
      <c r="L348" s="13">
        <v>0.26</v>
      </c>
      <c r="M348" s="13"/>
      <c r="N348" s="15"/>
      <c r="O348" s="16"/>
      <c r="P348" s="13"/>
      <c r="Q348" s="13"/>
      <c r="R348" s="17"/>
      <c r="S348" s="13"/>
      <c r="T348" s="17"/>
      <c r="U348" s="13"/>
      <c r="V348" s="16"/>
      <c r="W348" s="13"/>
      <c r="X348" s="13"/>
      <c r="Y348" s="14"/>
      <c r="Z348" s="2"/>
      <c r="AA348" s="13">
        <f>H348*I348/100</f>
      </c>
      <c r="AB348" s="13">
        <f>H348*J348/100</f>
      </c>
      <c r="AC348" s="15">
        <f>H348*K348</f>
      </c>
      <c r="AD348" s="15">
        <f>H348*M348</f>
      </c>
      <c r="AE348" s="13">
        <f>H348*L348/100</f>
      </c>
      <c r="AF348" s="13">
        <f>AA348+AB348+AE348</f>
      </c>
      <c r="AG348" s="13">
        <f>I348+J348+L348</f>
      </c>
      <c r="AH348" s="18">
        <f>$H348*I348</f>
      </c>
      <c r="AI348" s="18">
        <f>$H348*J348</f>
      </c>
      <c r="AJ348" s="18">
        <f>$H348*K348</f>
      </c>
      <c r="AK348" s="18">
        <f>$H348*L348</f>
      </c>
      <c r="AL348" s="18">
        <f>$H348*M348</f>
      </c>
      <c r="AM348" s="14"/>
      <c r="AN348" s="14"/>
      <c r="AO348" s="14"/>
    </row>
    <row x14ac:dyDescent="0.25" r="349" customHeight="1" ht="17.25">
      <c r="A349" s="2" t="s">
        <v>752</v>
      </c>
      <c r="B349" s="2" t="s">
        <v>429</v>
      </c>
      <c r="C349" s="2" t="s">
        <v>50</v>
      </c>
      <c r="D349" s="2"/>
      <c r="E349" s="12" t="s">
        <v>42</v>
      </c>
      <c r="F349" s="2" t="s">
        <v>675</v>
      </c>
      <c r="G349" s="2" t="s">
        <v>750</v>
      </c>
      <c r="H349" s="13">
        <f>1.06*0.9072</f>
      </c>
      <c r="I349" s="13">
        <v>1.03</v>
      </c>
      <c r="J349" s="13">
        <v>6.86</v>
      </c>
      <c r="K349" s="13">
        <v>54.52</v>
      </c>
      <c r="L349" s="13">
        <v>0.7</v>
      </c>
      <c r="M349" s="13">
        <v>1.02</v>
      </c>
      <c r="N349" s="15"/>
      <c r="O349" s="16"/>
      <c r="P349" s="13"/>
      <c r="Q349" s="13"/>
      <c r="R349" s="17"/>
      <c r="S349" s="13"/>
      <c r="T349" s="17"/>
      <c r="U349" s="13"/>
      <c r="V349" s="16"/>
      <c r="W349" s="13"/>
      <c r="X349" s="13"/>
      <c r="Y349" s="14"/>
      <c r="Z349" s="2"/>
      <c r="AA349" s="13">
        <f>H349*I349/100</f>
      </c>
      <c r="AB349" s="13">
        <f>H349*J349/100</f>
      </c>
      <c r="AC349" s="15">
        <f>H349*K349</f>
      </c>
      <c r="AD349" s="15">
        <f>H349*M349</f>
      </c>
      <c r="AE349" s="13">
        <f>H349*L349/100</f>
      </c>
      <c r="AF349" s="13">
        <f>AA349+AB349+AE349</f>
      </c>
      <c r="AG349" s="13">
        <f>I349+J349+L349</f>
      </c>
      <c r="AH349" s="18">
        <f>$H349*I349</f>
      </c>
      <c r="AI349" s="18">
        <f>$H349*J349</f>
      </c>
      <c r="AJ349" s="18">
        <f>$H349*K349</f>
      </c>
      <c r="AK349" s="18">
        <f>$H349*L349</f>
      </c>
      <c r="AL349" s="18">
        <f>$H349*M349</f>
      </c>
      <c r="AM349" s="14"/>
      <c r="AN349" s="14"/>
      <c r="AO349" s="14"/>
    </row>
    <row x14ac:dyDescent="0.25" r="350" customHeight="1" ht="17.25">
      <c r="A350" s="2" t="s">
        <v>753</v>
      </c>
      <c r="B350" s="2" t="s">
        <v>429</v>
      </c>
      <c r="C350" s="2" t="s">
        <v>50</v>
      </c>
      <c r="D350" s="2"/>
      <c r="E350" s="12" t="s">
        <v>42</v>
      </c>
      <c r="F350" s="2" t="s">
        <v>675</v>
      </c>
      <c r="G350" s="2" t="s">
        <v>750</v>
      </c>
      <c r="H350" s="13">
        <f>5.44*0.9072</f>
      </c>
      <c r="I350" s="13"/>
      <c r="J350" s="13">
        <v>1.8</v>
      </c>
      <c r="K350" s="14"/>
      <c r="L350" s="13">
        <v>1.49</v>
      </c>
      <c r="M350" s="13"/>
      <c r="N350" s="15"/>
      <c r="O350" s="16"/>
      <c r="P350" s="13"/>
      <c r="Q350" s="13"/>
      <c r="R350" s="17"/>
      <c r="S350" s="13"/>
      <c r="T350" s="17"/>
      <c r="U350" s="13"/>
      <c r="V350" s="16"/>
      <c r="W350" s="13"/>
      <c r="X350" s="13"/>
      <c r="Y350" s="14"/>
      <c r="Z350" s="2"/>
      <c r="AA350" s="13">
        <f>H350*I350/100</f>
      </c>
      <c r="AB350" s="13">
        <f>H350*J350/100</f>
      </c>
      <c r="AC350" s="15">
        <f>H350*K350</f>
      </c>
      <c r="AD350" s="15">
        <f>H350*M350</f>
      </c>
      <c r="AE350" s="13">
        <f>H350*L350/100</f>
      </c>
      <c r="AF350" s="13">
        <f>AA350+AB350+AE350</f>
      </c>
      <c r="AG350" s="13">
        <f>I350+J350+L350</f>
      </c>
      <c r="AH350" s="18">
        <f>$H350*I350</f>
      </c>
      <c r="AI350" s="18">
        <f>$H350*J350</f>
      </c>
      <c r="AJ350" s="18">
        <f>$H350*K350</f>
      </c>
      <c r="AK350" s="18">
        <f>$H350*L350</f>
      </c>
      <c r="AL350" s="18">
        <f>$H350*M350</f>
      </c>
      <c r="AM350" s="14"/>
      <c r="AN350" s="14"/>
      <c r="AO350" s="14"/>
    </row>
    <row x14ac:dyDescent="0.25" r="351" customHeight="1" ht="17.25">
      <c r="A351" s="2" t="s">
        <v>754</v>
      </c>
      <c r="B351" s="2" t="s">
        <v>429</v>
      </c>
      <c r="C351" s="2" t="s">
        <v>40</v>
      </c>
      <c r="D351" s="2" t="s">
        <v>64</v>
      </c>
      <c r="E351" s="2" t="s">
        <v>52</v>
      </c>
      <c r="F351" s="2" t="s">
        <v>755</v>
      </c>
      <c r="G351" s="2" t="s">
        <v>756</v>
      </c>
      <c r="H351" s="13">
        <f>7.083+8.048</f>
      </c>
      <c r="I351" s="13">
        <f>(1.25*7.083+1.08*8.048)/$H351</f>
      </c>
      <c r="J351" s="13">
        <f>(6.07*7.083+5.74*8.048)/$H351</f>
      </c>
      <c r="K351" s="14"/>
      <c r="L351" s="13"/>
      <c r="M351" s="13"/>
      <c r="N351" s="15"/>
      <c r="O351" s="16"/>
      <c r="P351" s="13"/>
      <c r="Q351" s="13"/>
      <c r="R351" s="17"/>
      <c r="S351" s="13"/>
      <c r="T351" s="17"/>
      <c r="U351" s="13"/>
      <c r="V351" s="16"/>
      <c r="W351" s="13"/>
      <c r="X351" s="13"/>
      <c r="Y351" s="14"/>
      <c r="Z351" s="2"/>
      <c r="AA351" s="13">
        <f>H351*I351/100</f>
      </c>
      <c r="AB351" s="13">
        <f>H351*J351/100</f>
      </c>
      <c r="AC351" s="15">
        <f>H351*K351</f>
      </c>
      <c r="AD351" s="15">
        <f>H351*M351</f>
      </c>
      <c r="AE351" s="13">
        <f>H351*L351/100</f>
      </c>
      <c r="AF351" s="13">
        <f>AA351+AB351+AE351</f>
      </c>
      <c r="AG351" s="13">
        <f>I351+J351+L351</f>
      </c>
      <c r="AH351" s="18">
        <f>$H351*I351</f>
      </c>
      <c r="AI351" s="18">
        <f>$H351*J351</f>
      </c>
      <c r="AJ351" s="18">
        <f>$H351*K351</f>
      </c>
      <c r="AK351" s="18">
        <f>$H351*L351</f>
      </c>
      <c r="AL351" s="18">
        <f>$H351*M351</f>
      </c>
      <c r="AM351" s="14"/>
      <c r="AN351" s="14"/>
      <c r="AO351" s="14"/>
    </row>
    <row x14ac:dyDescent="0.25" r="352" customHeight="1" ht="17.25">
      <c r="A352" s="2" t="s">
        <v>757</v>
      </c>
      <c r="B352" s="2" t="s">
        <v>429</v>
      </c>
      <c r="C352" s="2" t="s">
        <v>56</v>
      </c>
      <c r="D352" s="2"/>
      <c r="E352" s="12" t="s">
        <v>42</v>
      </c>
      <c r="F352" s="2" t="s">
        <v>758</v>
      </c>
      <c r="G352" s="2" t="s">
        <v>440</v>
      </c>
      <c r="H352" s="16">
        <v>0.273944</v>
      </c>
      <c r="I352" s="13">
        <v>5.4</v>
      </c>
      <c r="J352" s="15">
        <v>4.8</v>
      </c>
      <c r="K352" s="13">
        <v>233.1</v>
      </c>
      <c r="L352" s="13"/>
      <c r="M352" s="13"/>
      <c r="N352" s="15"/>
      <c r="O352" s="16"/>
      <c r="P352" s="13"/>
      <c r="Q352" s="13"/>
      <c r="R352" s="17"/>
      <c r="S352" s="13"/>
      <c r="T352" s="17"/>
      <c r="U352" s="13"/>
      <c r="V352" s="16"/>
      <c r="W352" s="13"/>
      <c r="X352" s="13"/>
      <c r="Y352" s="14"/>
      <c r="Z352" s="2"/>
      <c r="AA352" s="13">
        <f>H352*I352/100</f>
      </c>
      <c r="AB352" s="13">
        <f>H352*J352/100</f>
      </c>
      <c r="AC352" s="15">
        <f>H352*K352</f>
      </c>
      <c r="AD352" s="15">
        <f>H352*M352</f>
      </c>
      <c r="AE352" s="13">
        <f>H352*L352/100</f>
      </c>
      <c r="AF352" s="13">
        <f>AA352+AB352+AE352</f>
      </c>
      <c r="AG352" s="13">
        <f>I352+J352+L352</f>
      </c>
      <c r="AH352" s="18">
        <f>$H352*I352</f>
      </c>
      <c r="AI352" s="18">
        <f>$H352*J352</f>
      </c>
      <c r="AJ352" s="18">
        <f>$H352*K352</f>
      </c>
      <c r="AK352" s="18">
        <f>$H352*L352</f>
      </c>
      <c r="AL352" s="18">
        <f>$H352*M352</f>
      </c>
      <c r="AM352" s="14"/>
      <c r="AN352" s="14"/>
      <c r="AO352" s="14"/>
    </row>
    <row x14ac:dyDescent="0.25" r="353" customHeight="1" ht="17.25">
      <c r="A353" s="2" t="s">
        <v>759</v>
      </c>
      <c r="B353" s="2" t="s">
        <v>429</v>
      </c>
      <c r="C353" s="2" t="s">
        <v>50</v>
      </c>
      <c r="D353" s="2"/>
      <c r="E353" s="2" t="s">
        <v>52</v>
      </c>
      <c r="F353" s="2" t="s">
        <v>489</v>
      </c>
      <c r="G353" s="2" t="s">
        <v>574</v>
      </c>
      <c r="H353" s="16">
        <v>22.263781</v>
      </c>
      <c r="I353" s="13"/>
      <c r="J353" s="13">
        <v>1.33</v>
      </c>
      <c r="K353" s="14"/>
      <c r="L353" s="13">
        <v>1.1</v>
      </c>
      <c r="M353" s="13"/>
      <c r="N353" s="15"/>
      <c r="O353" s="16"/>
      <c r="P353" s="13"/>
      <c r="Q353" s="13"/>
      <c r="R353" s="17"/>
      <c r="S353" s="13"/>
      <c r="T353" s="17"/>
      <c r="U353" s="13"/>
      <c r="V353" s="16"/>
      <c r="W353" s="13"/>
      <c r="X353" s="13"/>
      <c r="Y353" s="14"/>
      <c r="Z353" s="2"/>
      <c r="AA353" s="13">
        <f>H353*I353/100</f>
      </c>
      <c r="AB353" s="13">
        <f>H353*J353/100</f>
      </c>
      <c r="AC353" s="15">
        <f>H353*K353</f>
      </c>
      <c r="AD353" s="15">
        <f>H353*M353</f>
      </c>
      <c r="AE353" s="13">
        <f>H353*L353/100</f>
      </c>
      <c r="AF353" s="13">
        <f>AA353+AB353+AE353</f>
      </c>
      <c r="AG353" s="13">
        <f>I353+J353+L353</f>
      </c>
      <c r="AH353" s="18">
        <f>$H353*I353</f>
      </c>
      <c r="AI353" s="18">
        <f>$H353*J353</f>
      </c>
      <c r="AJ353" s="18">
        <f>$H353*K353</f>
      </c>
      <c r="AK353" s="18">
        <f>$H353*L353</f>
      </c>
      <c r="AL353" s="18">
        <f>$H353*M353</f>
      </c>
      <c r="AM353" s="14"/>
      <c r="AN353" s="14"/>
      <c r="AO353" s="14"/>
    </row>
    <row x14ac:dyDescent="0.25" r="354" customHeight="1" ht="17.25">
      <c r="A354" s="2" t="s">
        <v>760</v>
      </c>
      <c r="B354" s="2" t="s">
        <v>429</v>
      </c>
      <c r="C354" s="12" t="s">
        <v>501</v>
      </c>
      <c r="D354" s="2"/>
      <c r="E354" s="2" t="s">
        <v>52</v>
      </c>
      <c r="F354" s="2" t="s">
        <v>761</v>
      </c>
      <c r="G354" s="2" t="s">
        <v>762</v>
      </c>
      <c r="H354" s="13">
        <v>2.19</v>
      </c>
      <c r="I354" s="13">
        <v>2.6</v>
      </c>
      <c r="J354" s="13">
        <v>10.4</v>
      </c>
      <c r="K354" s="14"/>
      <c r="L354" s="13"/>
      <c r="M354" s="13"/>
      <c r="N354" s="15"/>
      <c r="O354" s="16"/>
      <c r="P354" s="13"/>
      <c r="Q354" s="13"/>
      <c r="R354" s="17"/>
      <c r="S354" s="13"/>
      <c r="T354" s="17"/>
      <c r="U354" s="13"/>
      <c r="V354" s="16"/>
      <c r="W354" s="13"/>
      <c r="X354" s="13"/>
      <c r="Y354" s="14"/>
      <c r="Z354" s="2"/>
      <c r="AA354" s="13">
        <f>H354*I354/100</f>
      </c>
      <c r="AB354" s="13">
        <f>H354*J354/100</f>
      </c>
      <c r="AC354" s="15">
        <f>H354*K354</f>
      </c>
      <c r="AD354" s="15">
        <f>H354*M354</f>
      </c>
      <c r="AE354" s="13">
        <f>H354*L354/100</f>
      </c>
      <c r="AF354" s="13">
        <f>AA354+AB354+AE354</f>
      </c>
      <c r="AG354" s="13">
        <f>I354+J354+L354</f>
      </c>
      <c r="AH354" s="18">
        <f>$H354*I354</f>
      </c>
      <c r="AI354" s="18">
        <f>$H354*J354</f>
      </c>
      <c r="AJ354" s="18">
        <f>$H354*K354</f>
      </c>
      <c r="AK354" s="18">
        <f>$H354*L354</f>
      </c>
      <c r="AL354" s="18">
        <f>$H354*M354</f>
      </c>
      <c r="AM354" s="14"/>
      <c r="AN354" s="14"/>
      <c r="AO354" s="14"/>
    </row>
    <row x14ac:dyDescent="0.25" r="355" customHeight="1" ht="17.25">
      <c r="A355" s="2" t="s">
        <v>763</v>
      </c>
      <c r="B355" s="2" t="s">
        <v>429</v>
      </c>
      <c r="C355" s="2" t="s">
        <v>40</v>
      </c>
      <c r="D355" s="2"/>
      <c r="E355" s="12" t="s">
        <v>42</v>
      </c>
      <c r="F355" s="2" t="s">
        <v>43</v>
      </c>
      <c r="G355" s="2" t="s">
        <v>485</v>
      </c>
      <c r="H355" s="13">
        <v>1.5</v>
      </c>
      <c r="I355" s="13"/>
      <c r="J355" s="13">
        <v>5.7</v>
      </c>
      <c r="K355" s="14"/>
      <c r="L355" s="13"/>
      <c r="M355" s="13"/>
      <c r="N355" s="15"/>
      <c r="O355" s="16"/>
      <c r="P355" s="13"/>
      <c r="Q355" s="13"/>
      <c r="R355" s="17"/>
      <c r="S355" s="13"/>
      <c r="T355" s="17"/>
      <c r="U355" s="13"/>
      <c r="V355" s="16"/>
      <c r="W355" s="13"/>
      <c r="X355" s="13"/>
      <c r="Y355" s="14"/>
      <c r="Z355" s="2"/>
      <c r="AA355" s="13">
        <f>H355*I355/100</f>
      </c>
      <c r="AB355" s="13">
        <f>H355*J355/100</f>
      </c>
      <c r="AC355" s="15">
        <f>H355*K355</f>
      </c>
      <c r="AD355" s="15">
        <f>H355*M355</f>
      </c>
      <c r="AE355" s="13">
        <f>H355*L355/100</f>
      </c>
      <c r="AF355" s="13">
        <f>AA355+AB355+AE355</f>
      </c>
      <c r="AG355" s="13">
        <f>I355+J355+L355</f>
      </c>
      <c r="AH355" s="18">
        <f>$H355*I355</f>
      </c>
      <c r="AI355" s="18">
        <f>$H355*J355</f>
      </c>
      <c r="AJ355" s="18">
        <f>$H355*K355</f>
      </c>
      <c r="AK355" s="18">
        <f>$H355*L355</f>
      </c>
      <c r="AL355" s="18">
        <f>$H355*M355</f>
      </c>
      <c r="AM355" s="14"/>
      <c r="AN355" s="14"/>
      <c r="AO355" s="14"/>
    </row>
    <row x14ac:dyDescent="0.25" r="356" customHeight="1" ht="17.25">
      <c r="A356" s="2" t="s">
        <v>764</v>
      </c>
      <c r="B356" s="2" t="s">
        <v>429</v>
      </c>
      <c r="C356" s="2" t="s">
        <v>40</v>
      </c>
      <c r="D356" s="2" t="s">
        <v>41</v>
      </c>
      <c r="E356" s="12" t="s">
        <v>42</v>
      </c>
      <c r="F356" s="2" t="s">
        <v>43</v>
      </c>
      <c r="G356" s="2" t="s">
        <v>440</v>
      </c>
      <c r="H356" s="16">
        <v>0.036287</v>
      </c>
      <c r="I356" s="13">
        <v>0.1</v>
      </c>
      <c r="J356" s="13">
        <v>4.1</v>
      </c>
      <c r="K356" s="14"/>
      <c r="L356" s="13"/>
      <c r="M356" s="13"/>
      <c r="N356" s="15"/>
      <c r="O356" s="16"/>
      <c r="P356" s="13"/>
      <c r="Q356" s="13"/>
      <c r="R356" s="17"/>
      <c r="S356" s="13"/>
      <c r="T356" s="17"/>
      <c r="U356" s="13"/>
      <c r="V356" s="16"/>
      <c r="W356" s="13"/>
      <c r="X356" s="13"/>
      <c r="Y356" s="14"/>
      <c r="Z356" s="2"/>
      <c r="AA356" s="13">
        <f>H356*I356/100</f>
      </c>
      <c r="AB356" s="13">
        <f>H356*J356/100</f>
      </c>
      <c r="AC356" s="15">
        <f>H356*K356</f>
      </c>
      <c r="AD356" s="15">
        <f>H356*M356</f>
      </c>
      <c r="AE356" s="13">
        <f>H356*L356/100</f>
      </c>
      <c r="AF356" s="13">
        <f>AA356+AB356+AE356</f>
      </c>
      <c r="AG356" s="13">
        <f>I356+J356+L356</f>
      </c>
      <c r="AH356" s="18">
        <f>$H356*I356</f>
      </c>
      <c r="AI356" s="18">
        <f>$H356*J356</f>
      </c>
      <c r="AJ356" s="18">
        <f>$H356*K356</f>
      </c>
      <c r="AK356" s="18">
        <f>$H356*L356</f>
      </c>
      <c r="AL356" s="18">
        <f>$H356*M356</f>
      </c>
      <c r="AM356" s="14"/>
      <c r="AN356" s="14"/>
      <c r="AO356" s="14"/>
    </row>
    <row x14ac:dyDescent="0.25" r="357" customHeight="1" ht="17.25">
      <c r="A357" s="2" t="s">
        <v>765</v>
      </c>
      <c r="B357" s="2" t="s">
        <v>429</v>
      </c>
      <c r="C357" s="2" t="s">
        <v>50</v>
      </c>
      <c r="D357" s="2"/>
      <c r="E357" s="12" t="s">
        <v>42</v>
      </c>
      <c r="F357" s="2" t="s">
        <v>542</v>
      </c>
      <c r="G357" s="2" t="s">
        <v>440</v>
      </c>
      <c r="H357" s="13">
        <v>1.34</v>
      </c>
      <c r="I357" s="13">
        <v>0.4</v>
      </c>
      <c r="J357" s="13">
        <v>3.8</v>
      </c>
      <c r="K357" s="14">
        <v>13</v>
      </c>
      <c r="L357" s="13">
        <v>0.1</v>
      </c>
      <c r="M357" s="13">
        <v>0.25</v>
      </c>
      <c r="N357" s="15"/>
      <c r="O357" s="16"/>
      <c r="P357" s="13"/>
      <c r="Q357" s="13"/>
      <c r="R357" s="17"/>
      <c r="S357" s="13"/>
      <c r="T357" s="17"/>
      <c r="U357" s="13"/>
      <c r="V357" s="16"/>
      <c r="W357" s="13"/>
      <c r="X357" s="13"/>
      <c r="Y357" s="14"/>
      <c r="Z357" s="2"/>
      <c r="AA357" s="13">
        <f>H357*I357/100</f>
      </c>
      <c r="AB357" s="13">
        <f>H357*J357/100</f>
      </c>
      <c r="AC357" s="15">
        <f>H357*K357</f>
      </c>
      <c r="AD357" s="15">
        <f>H357*M357</f>
      </c>
      <c r="AE357" s="13">
        <f>H357*L357/100</f>
      </c>
      <c r="AF357" s="13">
        <f>AA357+AB357+AE357</f>
      </c>
      <c r="AG357" s="13">
        <f>I357+J357+L357</f>
      </c>
      <c r="AH357" s="18">
        <f>$H357*I357</f>
      </c>
      <c r="AI357" s="18">
        <f>$H357*J357</f>
      </c>
      <c r="AJ357" s="18">
        <f>$H357*K357</f>
      </c>
      <c r="AK357" s="18">
        <f>$H357*L357</f>
      </c>
      <c r="AL357" s="18">
        <f>$H357*M357</f>
      </c>
      <c r="AM357" s="14"/>
      <c r="AN357" s="14"/>
      <c r="AO357" s="14"/>
    </row>
    <row x14ac:dyDescent="0.25" r="358" customHeight="1" ht="17.25">
      <c r="A358" s="2" t="s">
        <v>766</v>
      </c>
      <c r="B358" s="2" t="s">
        <v>429</v>
      </c>
      <c r="C358" s="2" t="s">
        <v>40</v>
      </c>
      <c r="D358" s="2" t="s">
        <v>41</v>
      </c>
      <c r="E358" s="2" t="s">
        <v>52</v>
      </c>
      <c r="F358" s="2" t="s">
        <v>767</v>
      </c>
      <c r="G358" s="2" t="s">
        <v>721</v>
      </c>
      <c r="H358" s="13">
        <f>2.075+5.77+3.677</f>
      </c>
      <c r="I358" s="13">
        <f>(1.68*2.075+1.69*5.77+1.51*3.677)/$H358</f>
      </c>
      <c r="J358" s="13">
        <f>(3.14*2.075+3.3*5.77+2.35*3.677)/$H358</f>
      </c>
      <c r="K358" s="14"/>
      <c r="L358" s="13"/>
      <c r="M358" s="13"/>
      <c r="N358" s="15"/>
      <c r="O358" s="16"/>
      <c r="P358" s="13"/>
      <c r="Q358" s="13"/>
      <c r="R358" s="17"/>
      <c r="S358" s="13"/>
      <c r="T358" s="17"/>
      <c r="U358" s="13"/>
      <c r="V358" s="16"/>
      <c r="W358" s="13"/>
      <c r="X358" s="13"/>
      <c r="Y358" s="14"/>
      <c r="Z358" s="2"/>
      <c r="AA358" s="13">
        <f>H358*I358/100</f>
      </c>
      <c r="AB358" s="13">
        <f>H358*J358/100</f>
      </c>
      <c r="AC358" s="15">
        <f>H358*K358</f>
      </c>
      <c r="AD358" s="15">
        <f>H358*M358</f>
      </c>
      <c r="AE358" s="13">
        <f>H358*L358/100</f>
      </c>
      <c r="AF358" s="13">
        <f>AA358+AB358+AE358</f>
      </c>
      <c r="AG358" s="13">
        <f>I358+J358+L358</f>
      </c>
      <c r="AH358" s="18">
        <f>$H358*I358</f>
      </c>
      <c r="AI358" s="18">
        <f>$H358*J358</f>
      </c>
      <c r="AJ358" s="18">
        <f>$H358*K358</f>
      </c>
      <c r="AK358" s="18">
        <f>$H358*L358</f>
      </c>
      <c r="AL358" s="18">
        <f>$H358*M358</f>
      </c>
      <c r="AM358" s="14"/>
      <c r="AN358" s="14"/>
      <c r="AO358" s="14"/>
    </row>
    <row x14ac:dyDescent="0.25" r="359" customHeight="1" ht="17.25">
      <c r="A359" s="2" t="s">
        <v>768</v>
      </c>
      <c r="B359" s="2" t="s">
        <v>429</v>
      </c>
      <c r="C359" s="2" t="s">
        <v>40</v>
      </c>
      <c r="D359" s="2" t="s">
        <v>41</v>
      </c>
      <c r="E359" s="2" t="s">
        <v>52</v>
      </c>
      <c r="F359" s="2" t="s">
        <v>767</v>
      </c>
      <c r="G359" s="2" t="s">
        <v>721</v>
      </c>
      <c r="H359" s="13">
        <f>1.55+2.81+0.96</f>
      </c>
      <c r="I359" s="13">
        <f>(1.45*1.55+1.44*2.81+1.59*0.96)/$H359</f>
      </c>
      <c r="J359" s="13">
        <f>(1.97*1.55+1.82*2.81+1.73*0.96)/$H359</f>
      </c>
      <c r="K359" s="14"/>
      <c r="L359" s="13"/>
      <c r="M359" s="13"/>
      <c r="N359" s="15"/>
      <c r="O359" s="16"/>
      <c r="P359" s="13"/>
      <c r="Q359" s="13"/>
      <c r="R359" s="17"/>
      <c r="S359" s="13"/>
      <c r="T359" s="17"/>
      <c r="U359" s="13"/>
      <c r="V359" s="16"/>
      <c r="W359" s="13"/>
      <c r="X359" s="13"/>
      <c r="Y359" s="14"/>
      <c r="Z359" s="2"/>
      <c r="AA359" s="13">
        <f>H359*I359/100</f>
      </c>
      <c r="AB359" s="13">
        <f>H359*J359/100</f>
      </c>
      <c r="AC359" s="15">
        <f>H359*K359</f>
      </c>
      <c r="AD359" s="15">
        <f>H359*M359</f>
      </c>
      <c r="AE359" s="13">
        <f>H359*L359/100</f>
      </c>
      <c r="AF359" s="13">
        <f>AA359+AB359+AE359</f>
      </c>
      <c r="AG359" s="13">
        <f>I359+J359+L359</f>
      </c>
      <c r="AH359" s="18">
        <f>$H359*I359</f>
      </c>
      <c r="AI359" s="18">
        <f>$H359*J359</f>
      </c>
      <c r="AJ359" s="18">
        <f>$H359*K359</f>
      </c>
      <c r="AK359" s="18">
        <f>$H359*L359</f>
      </c>
      <c r="AL359" s="18">
        <f>$H359*M359</f>
      </c>
      <c r="AM359" s="14"/>
      <c r="AN359" s="14"/>
      <c r="AO359" s="14"/>
    </row>
    <row x14ac:dyDescent="0.25" r="360" customHeight="1" ht="17.25">
      <c r="A360" s="2" t="s">
        <v>769</v>
      </c>
      <c r="B360" s="2" t="s">
        <v>429</v>
      </c>
      <c r="C360" s="2" t="s">
        <v>50</v>
      </c>
      <c r="D360" s="2"/>
      <c r="E360" s="2" t="s">
        <v>52</v>
      </c>
      <c r="F360" s="2" t="s">
        <v>548</v>
      </c>
      <c r="G360" s="2" t="s">
        <v>770</v>
      </c>
      <c r="H360" s="13">
        <v>5.447</v>
      </c>
      <c r="I360" s="13"/>
      <c r="J360" s="13">
        <v>4.6</v>
      </c>
      <c r="K360" s="15">
        <v>34</v>
      </c>
      <c r="L360" s="13">
        <v>1.2</v>
      </c>
      <c r="M360" s="13">
        <v>0.2</v>
      </c>
      <c r="N360" s="15"/>
      <c r="O360" s="16"/>
      <c r="P360" s="13"/>
      <c r="Q360" s="13"/>
      <c r="R360" s="17"/>
      <c r="S360" s="13"/>
      <c r="T360" s="17"/>
      <c r="U360" s="13"/>
      <c r="V360" s="16"/>
      <c r="W360" s="13"/>
      <c r="X360" s="13"/>
      <c r="Y360" s="14"/>
      <c r="Z360" s="2"/>
      <c r="AA360" s="13">
        <f>H360*I360/100</f>
      </c>
      <c r="AB360" s="13">
        <f>H360*J360/100</f>
      </c>
      <c r="AC360" s="15">
        <f>H360*K360</f>
      </c>
      <c r="AD360" s="15">
        <f>H360*M360</f>
      </c>
      <c r="AE360" s="13">
        <f>H360*L360/100</f>
      </c>
      <c r="AF360" s="13">
        <f>AA360+AB360+AE360</f>
      </c>
      <c r="AG360" s="13">
        <f>I360+J360+L360</f>
      </c>
      <c r="AH360" s="18">
        <f>$H360*I360</f>
      </c>
      <c r="AI360" s="18">
        <f>$H360*J360</f>
      </c>
      <c r="AJ360" s="18">
        <f>$H360*K360</f>
      </c>
      <c r="AK360" s="18">
        <f>$H360*L360</f>
      </c>
      <c r="AL360" s="18">
        <f>$H360*M360</f>
      </c>
      <c r="AM360" s="14"/>
      <c r="AN360" s="14"/>
      <c r="AO360" s="14"/>
    </row>
    <row x14ac:dyDescent="0.25" r="361" customHeight="1" ht="17.25">
      <c r="A361" s="2" t="s">
        <v>771</v>
      </c>
      <c r="B361" s="2" t="s">
        <v>429</v>
      </c>
      <c r="C361" s="2" t="s">
        <v>56</v>
      </c>
      <c r="D361" s="2"/>
      <c r="E361" s="12" t="s">
        <v>42</v>
      </c>
      <c r="F361" s="2" t="s">
        <v>43</v>
      </c>
      <c r="G361" s="2" t="s">
        <v>440</v>
      </c>
      <c r="H361" s="16">
        <v>1.506239</v>
      </c>
      <c r="I361" s="13">
        <v>0.15</v>
      </c>
      <c r="J361" s="13">
        <v>3.57</v>
      </c>
      <c r="K361" s="13">
        <v>41.13</v>
      </c>
      <c r="L361" s="13">
        <v>0.63</v>
      </c>
      <c r="M361" s="13">
        <v>0.82</v>
      </c>
      <c r="N361" s="15"/>
      <c r="O361" s="16"/>
      <c r="P361" s="13"/>
      <c r="Q361" s="13"/>
      <c r="R361" s="17"/>
      <c r="S361" s="13"/>
      <c r="T361" s="17"/>
      <c r="U361" s="13"/>
      <c r="V361" s="16"/>
      <c r="W361" s="13"/>
      <c r="X361" s="13"/>
      <c r="Y361" s="14"/>
      <c r="Z361" s="2"/>
      <c r="AA361" s="13">
        <f>H361*I361/100</f>
      </c>
      <c r="AB361" s="13">
        <f>H361*J361/100</f>
      </c>
      <c r="AC361" s="15">
        <f>H361*K361</f>
      </c>
      <c r="AD361" s="15">
        <f>H361*M361</f>
      </c>
      <c r="AE361" s="13">
        <f>H361*L361/100</f>
      </c>
      <c r="AF361" s="13">
        <f>AA361+AB361+AE361</f>
      </c>
      <c r="AG361" s="13">
        <f>I361+J361+L361</f>
      </c>
      <c r="AH361" s="18">
        <f>$H361*I361</f>
      </c>
      <c r="AI361" s="18">
        <f>$H361*J361</f>
      </c>
      <c r="AJ361" s="18">
        <f>$H361*K361</f>
      </c>
      <c r="AK361" s="18">
        <f>$H361*L361</f>
      </c>
      <c r="AL361" s="18">
        <f>$H361*M361</f>
      </c>
      <c r="AM361" s="14"/>
      <c r="AN361" s="14"/>
      <c r="AO361" s="14"/>
    </row>
    <row x14ac:dyDescent="0.25" r="362" customHeight="1" ht="17.25">
      <c r="A362" s="2" t="s">
        <v>772</v>
      </c>
      <c r="B362" s="2" t="s">
        <v>429</v>
      </c>
      <c r="C362" s="2" t="s">
        <v>50</v>
      </c>
      <c r="D362" s="2"/>
      <c r="E362" s="2" t="s">
        <v>52</v>
      </c>
      <c r="F362" s="2" t="s">
        <v>773</v>
      </c>
      <c r="G362" s="2" t="s">
        <v>461</v>
      </c>
      <c r="H362" s="16">
        <f>6.5528+15.86</f>
      </c>
      <c r="I362" s="13"/>
      <c r="J362" s="13">
        <f>(1.22*6.5528+0.84*15.86)/$H362</f>
      </c>
      <c r="K362" s="13">
        <f>(7.4*6.5528+5.77*15.86)/$H362</f>
      </c>
      <c r="L362" s="13">
        <f>(0.85*6.5528+0.68*15.86)/$H362</f>
      </c>
      <c r="M362" s="13">
        <f>(0.37*6.5528+0.28*15.86)/$H362</f>
      </c>
      <c r="N362" s="15"/>
      <c r="O362" s="16"/>
      <c r="P362" s="13"/>
      <c r="Q362" s="13"/>
      <c r="R362" s="17"/>
      <c r="S362" s="13"/>
      <c r="T362" s="17"/>
      <c r="U362" s="13"/>
      <c r="V362" s="16"/>
      <c r="W362" s="13"/>
      <c r="X362" s="13"/>
      <c r="Y362" s="14"/>
      <c r="Z362" s="2"/>
      <c r="AA362" s="13">
        <f>H362*I362/100</f>
      </c>
      <c r="AB362" s="13">
        <f>H362*J362/100</f>
      </c>
      <c r="AC362" s="15">
        <f>H362*K362</f>
      </c>
      <c r="AD362" s="15">
        <f>H362*M362</f>
      </c>
      <c r="AE362" s="13">
        <f>H362*L362/100</f>
      </c>
      <c r="AF362" s="13">
        <f>AA362+AB362+AE362</f>
      </c>
      <c r="AG362" s="13">
        <f>I362+J362+L362</f>
      </c>
      <c r="AH362" s="18">
        <f>$H362*I362</f>
      </c>
      <c r="AI362" s="18">
        <f>$H362*J362</f>
      </c>
      <c r="AJ362" s="18">
        <f>$H362*K362</f>
      </c>
      <c r="AK362" s="18">
        <f>$H362*L362</f>
      </c>
      <c r="AL362" s="18">
        <f>$H362*M362</f>
      </c>
      <c r="AM362" s="14"/>
      <c r="AN362" s="14"/>
      <c r="AO362" s="14"/>
    </row>
    <row x14ac:dyDescent="0.25" r="363" customHeight="1" ht="17.25">
      <c r="A363" s="2" t="s">
        <v>774</v>
      </c>
      <c r="B363" s="2" t="s">
        <v>429</v>
      </c>
      <c r="C363" s="2" t="s">
        <v>56</v>
      </c>
      <c r="D363" s="2"/>
      <c r="E363" s="2" t="s">
        <v>52</v>
      </c>
      <c r="F363" s="2" t="s">
        <v>775</v>
      </c>
      <c r="G363" s="2" t="s">
        <v>776</v>
      </c>
      <c r="H363" s="16">
        <f>0.702+0.967</f>
      </c>
      <c r="I363" s="13">
        <f>(0.33*0.702+0.25*0.967)/$H363</f>
      </c>
      <c r="J363" s="13">
        <f>(0.88*0.702+0.64*0.967)/$H363</f>
      </c>
      <c r="K363" s="15">
        <f>(17.89*0.702+18.98*0.967)/$H363</f>
      </c>
      <c r="L363" s="13">
        <f>(0.07*0.702+0.4*0.967)/$H363</f>
      </c>
      <c r="M363" s="13">
        <f>(4.46*0.702+4.39*0.967)/$H363</f>
      </c>
      <c r="N363" s="15"/>
      <c r="O363" s="16"/>
      <c r="P363" s="13"/>
      <c r="Q363" s="13"/>
      <c r="R363" s="17"/>
      <c r="S363" s="13"/>
      <c r="T363" s="17"/>
      <c r="U363" s="13"/>
      <c r="V363" s="16"/>
      <c r="W363" s="13"/>
      <c r="X363" s="13"/>
      <c r="Y363" s="14"/>
      <c r="Z363" s="2"/>
      <c r="AA363" s="13">
        <f>H363*I363/100</f>
      </c>
      <c r="AB363" s="13">
        <f>H363*J363/100</f>
      </c>
      <c r="AC363" s="15">
        <f>H363*K363</f>
      </c>
      <c r="AD363" s="15">
        <f>H363*M363</f>
      </c>
      <c r="AE363" s="13">
        <f>H363*L363/100</f>
      </c>
      <c r="AF363" s="13">
        <f>AA363+AB363+AE363</f>
      </c>
      <c r="AG363" s="13">
        <f>I363+J363+L363</f>
      </c>
      <c r="AH363" s="18">
        <f>$H363*I363</f>
      </c>
      <c r="AI363" s="18">
        <f>$H363*J363</f>
      </c>
      <c r="AJ363" s="18">
        <f>$H363*K363</f>
      </c>
      <c r="AK363" s="18">
        <f>$H363*L363</f>
      </c>
      <c r="AL363" s="18">
        <f>$H363*M363</f>
      </c>
      <c r="AM363" s="14"/>
      <c r="AN363" s="14"/>
      <c r="AO363" s="14"/>
    </row>
    <row x14ac:dyDescent="0.25" r="364" customHeight="1" ht="17.25">
      <c r="A364" s="2" t="s">
        <v>777</v>
      </c>
      <c r="B364" s="2" t="s">
        <v>429</v>
      </c>
      <c r="C364" s="2" t="s">
        <v>56</v>
      </c>
      <c r="D364" s="2" t="s">
        <v>75</v>
      </c>
      <c r="E364" s="2" t="s">
        <v>52</v>
      </c>
      <c r="F364" s="2" t="s">
        <v>778</v>
      </c>
      <c r="G364" s="2" t="s">
        <v>779</v>
      </c>
      <c r="H364" s="16">
        <v>0.0695</v>
      </c>
      <c r="I364" s="13">
        <v>1.89</v>
      </c>
      <c r="J364" s="13">
        <v>9.12</v>
      </c>
      <c r="K364" s="15">
        <v>555.66</v>
      </c>
      <c r="L364" s="13"/>
      <c r="M364" s="13"/>
      <c r="N364" s="15"/>
      <c r="O364" s="16"/>
      <c r="P364" s="13"/>
      <c r="Q364" s="13"/>
      <c r="R364" s="17"/>
      <c r="S364" s="13"/>
      <c r="T364" s="17"/>
      <c r="U364" s="13"/>
      <c r="V364" s="16"/>
      <c r="W364" s="13"/>
      <c r="X364" s="13"/>
      <c r="Y364" s="14"/>
      <c r="Z364" s="2"/>
      <c r="AA364" s="13">
        <f>H364*I364/100</f>
      </c>
      <c r="AB364" s="13">
        <f>H364*J364/100</f>
      </c>
      <c r="AC364" s="15">
        <f>H364*K364</f>
      </c>
      <c r="AD364" s="15">
        <f>H364*M364</f>
      </c>
      <c r="AE364" s="13">
        <f>H364*L364/100</f>
      </c>
      <c r="AF364" s="13">
        <f>AA364+AB364+AE364</f>
      </c>
      <c r="AG364" s="13">
        <f>I364+J364+L364</f>
      </c>
      <c r="AH364" s="18">
        <f>$H364*I364</f>
      </c>
      <c r="AI364" s="18">
        <f>$H364*J364</f>
      </c>
      <c r="AJ364" s="18">
        <f>$H364*K364</f>
      </c>
      <c r="AK364" s="18">
        <f>$H364*L364</f>
      </c>
      <c r="AL364" s="18">
        <f>$H364*M364</f>
      </c>
      <c r="AM364" s="14"/>
      <c r="AN364" s="14"/>
      <c r="AO364" s="14"/>
    </row>
    <row x14ac:dyDescent="0.25" r="365" customHeight="1" ht="17.25">
      <c r="A365" s="2" t="s">
        <v>780</v>
      </c>
      <c r="B365" s="2" t="s">
        <v>429</v>
      </c>
      <c r="C365" s="2" t="s">
        <v>56</v>
      </c>
      <c r="D365" s="2"/>
      <c r="E365" s="12" t="s">
        <v>42</v>
      </c>
      <c r="F365" s="2" t="s">
        <v>43</v>
      </c>
      <c r="G365" s="2" t="s">
        <v>440</v>
      </c>
      <c r="H365" s="16">
        <f>0.029753+0.011974+0.008543+0.005533+0.006186+0.006147</f>
      </c>
      <c r="I365" s="13">
        <f>(2.09*0.029753+1.8*0.011974+1.05*0.008543+1.6*0.005533+1.16*0.006186+1.2*0.006147)/$H365</f>
      </c>
      <c r="J365" s="13">
        <f>(0.54*0.029753+1*0.011974+3.67*0.008543+0.1*0.005533+0.09*0.006186+0.3*0.006147)/$H365</f>
      </c>
      <c r="K365" s="13">
        <f>(7.54*0.029753+9.5*0.011974+8.56*0.008543+8.4*0.005533+4.13*0.006186+2.9*0.006147)/$H365</f>
      </c>
      <c r="L365" s="13"/>
      <c r="M365" s="13"/>
      <c r="N365" s="15"/>
      <c r="O365" s="16"/>
      <c r="P365" s="13"/>
      <c r="Q365" s="13"/>
      <c r="R365" s="17"/>
      <c r="S365" s="13"/>
      <c r="T365" s="17"/>
      <c r="U365" s="13"/>
      <c r="V365" s="16"/>
      <c r="W365" s="13"/>
      <c r="X365" s="13"/>
      <c r="Y365" s="14"/>
      <c r="Z365" s="2"/>
      <c r="AA365" s="13">
        <f>H365*I365/100</f>
      </c>
      <c r="AB365" s="13">
        <f>H365*J365/100</f>
      </c>
      <c r="AC365" s="15">
        <f>H365*K365</f>
      </c>
      <c r="AD365" s="15">
        <f>H365*M365</f>
      </c>
      <c r="AE365" s="13">
        <f>H365*L365/100</f>
      </c>
      <c r="AF365" s="13">
        <f>AA365+AB365+AE365</f>
      </c>
      <c r="AG365" s="13">
        <f>I365+J365+L365</f>
      </c>
      <c r="AH365" s="18">
        <f>$H365*I365</f>
      </c>
      <c r="AI365" s="18">
        <f>$H365*J365</f>
      </c>
      <c r="AJ365" s="18">
        <f>$H365*K365</f>
      </c>
      <c r="AK365" s="18">
        <f>$H365*L365</f>
      </c>
      <c r="AL365" s="18">
        <f>$H365*M365</f>
      </c>
      <c r="AM365" s="14"/>
      <c r="AN365" s="14"/>
      <c r="AO365" s="14"/>
    </row>
    <row x14ac:dyDescent="0.25" r="366" customHeight="1" ht="17.25">
      <c r="A366" s="2" t="s">
        <v>781</v>
      </c>
      <c r="B366" s="2" t="s">
        <v>429</v>
      </c>
      <c r="C366" s="2" t="s">
        <v>56</v>
      </c>
      <c r="D366" s="2"/>
      <c r="E366" s="12" t="s">
        <v>42</v>
      </c>
      <c r="F366" s="2" t="s">
        <v>782</v>
      </c>
      <c r="G366" s="2" t="s">
        <v>783</v>
      </c>
      <c r="H366" s="16">
        <f>(0.708134+0.220266)*0.9072</f>
      </c>
      <c r="I366" s="13">
        <f>(0.82*0.708134+0.89*0.220266)/(0.708134+0.220266)</f>
      </c>
      <c r="J366" s="13">
        <f>(5.43*0.708134+5.67*0.220266)/(0.708134+0.220266)</f>
      </c>
      <c r="K366" s="15">
        <f>((4.78*0.708134+8.15*0.220266)/(0.708134+0.220266))*31.1/0.9072</f>
      </c>
      <c r="L366" s="13">
        <f>(0.19*0.708134+0.54*0.220266)/(0.708134+0.220266)</f>
      </c>
      <c r="M366" s="13">
        <f>((0.086*0.708134+0.152*0.220266)/(0.708134+0.220266))*31.1/0.9072</f>
      </c>
      <c r="N366" s="15"/>
      <c r="O366" s="16"/>
      <c r="P366" s="13"/>
      <c r="Q366" s="13"/>
      <c r="R366" s="17"/>
      <c r="S366" s="13"/>
      <c r="T366" s="17"/>
      <c r="U366" s="13"/>
      <c r="V366" s="16"/>
      <c r="W366" s="13"/>
      <c r="X366" s="13"/>
      <c r="Y366" s="14"/>
      <c r="Z366" s="2"/>
      <c r="AA366" s="13">
        <f>H366*I366/100</f>
      </c>
      <c r="AB366" s="13">
        <f>H366*J366/100</f>
      </c>
      <c r="AC366" s="15">
        <f>H366*K366</f>
      </c>
      <c r="AD366" s="15">
        <f>H366*M366</f>
      </c>
      <c r="AE366" s="13">
        <f>H366*L366/100</f>
      </c>
      <c r="AF366" s="13">
        <f>AA366+AB366+AE366</f>
      </c>
      <c r="AG366" s="13">
        <f>I366+J366+L366</f>
      </c>
      <c r="AH366" s="18">
        <f>$H366*I366</f>
      </c>
      <c r="AI366" s="18">
        <f>$H366*J366</f>
      </c>
      <c r="AJ366" s="18">
        <f>$H366*K366</f>
      </c>
      <c r="AK366" s="18">
        <f>$H366*L366</f>
      </c>
      <c r="AL366" s="18">
        <f>$H366*M366</f>
      </c>
      <c r="AM366" s="14"/>
      <c r="AN366" s="14"/>
      <c r="AO366" s="14"/>
    </row>
    <row x14ac:dyDescent="0.25" r="367" customHeight="1" ht="17.25">
      <c r="A367" s="2" t="s">
        <v>784</v>
      </c>
      <c r="B367" s="2" t="s">
        <v>429</v>
      </c>
      <c r="C367" s="2" t="s">
        <v>56</v>
      </c>
      <c r="D367" s="2"/>
      <c r="E367" s="12" t="s">
        <v>42</v>
      </c>
      <c r="F367" s="2" t="s">
        <v>782</v>
      </c>
      <c r="G367" s="2" t="s">
        <v>783</v>
      </c>
      <c r="H367" s="16">
        <v>0.5776</v>
      </c>
      <c r="I367" s="13">
        <v>1.49</v>
      </c>
      <c r="J367" s="13">
        <v>6.53</v>
      </c>
      <c r="K367" s="14">
        <v>257</v>
      </c>
      <c r="L367" s="13">
        <v>0.49</v>
      </c>
      <c r="M367" s="13">
        <v>3.7</v>
      </c>
      <c r="N367" s="15"/>
      <c r="O367" s="16"/>
      <c r="P367" s="13"/>
      <c r="Q367" s="13"/>
      <c r="R367" s="17"/>
      <c r="S367" s="13"/>
      <c r="T367" s="17"/>
      <c r="U367" s="13"/>
      <c r="V367" s="16"/>
      <c r="W367" s="13"/>
      <c r="X367" s="13"/>
      <c r="Y367" s="14"/>
      <c r="Z367" s="2"/>
      <c r="AA367" s="13">
        <f>H367*I367/100</f>
      </c>
      <c r="AB367" s="13">
        <f>H367*J367/100</f>
      </c>
      <c r="AC367" s="15">
        <f>H367*K367</f>
      </c>
      <c r="AD367" s="15">
        <f>H367*M367</f>
      </c>
      <c r="AE367" s="13">
        <f>H367*L367/100</f>
      </c>
      <c r="AF367" s="13">
        <f>AA367+AB367+AE367</f>
      </c>
      <c r="AG367" s="13">
        <f>I367+J367+L367</f>
      </c>
      <c r="AH367" s="18">
        <f>$H367*I367</f>
      </c>
      <c r="AI367" s="18">
        <f>$H367*J367</f>
      </c>
      <c r="AJ367" s="18">
        <f>$H367*K367</f>
      </c>
      <c r="AK367" s="18">
        <f>$H367*L367</f>
      </c>
      <c r="AL367" s="18">
        <f>$H367*M367</f>
      </c>
      <c r="AM367" s="14"/>
      <c r="AN367" s="14"/>
      <c r="AO367" s="14"/>
    </row>
    <row x14ac:dyDescent="0.25" r="368" customHeight="1" ht="17.25">
      <c r="A368" s="2" t="s">
        <v>785</v>
      </c>
      <c r="B368" s="2" t="s">
        <v>429</v>
      </c>
      <c r="C368" s="2" t="s">
        <v>40</v>
      </c>
      <c r="D368" s="2" t="s">
        <v>64</v>
      </c>
      <c r="E368" s="2" t="s">
        <v>52</v>
      </c>
      <c r="F368" s="2" t="s">
        <v>761</v>
      </c>
      <c r="G368" s="2" t="s">
        <v>786</v>
      </c>
      <c r="H368" s="13">
        <v>2.57</v>
      </c>
      <c r="I368" s="13">
        <v>6.4</v>
      </c>
      <c r="J368" s="13">
        <v>8.8</v>
      </c>
      <c r="K368" s="14">
        <v>325</v>
      </c>
      <c r="L368" s="13"/>
      <c r="M368" s="13">
        <v>0.63</v>
      </c>
      <c r="N368" s="15"/>
      <c r="O368" s="16"/>
      <c r="P368" s="13"/>
      <c r="Q368" s="13"/>
      <c r="R368" s="17"/>
      <c r="S368" s="13"/>
      <c r="T368" s="17"/>
      <c r="U368" s="13"/>
      <c r="V368" s="16"/>
      <c r="W368" s="13"/>
      <c r="X368" s="13"/>
      <c r="Y368" s="14"/>
      <c r="Z368" s="2"/>
      <c r="AA368" s="13">
        <f>H368*I368/100</f>
      </c>
      <c r="AB368" s="13">
        <f>H368*J368/100</f>
      </c>
      <c r="AC368" s="15">
        <f>H368*K368</f>
      </c>
      <c r="AD368" s="15">
        <f>H368*M368</f>
      </c>
      <c r="AE368" s="13">
        <f>H368*L368/100</f>
      </c>
      <c r="AF368" s="13">
        <f>AA368+AB368+AE368</f>
      </c>
      <c r="AG368" s="13">
        <f>I368+J368+L368</f>
      </c>
      <c r="AH368" s="18">
        <f>$H368*I368</f>
      </c>
      <c r="AI368" s="18">
        <f>$H368*J368</f>
      </c>
      <c r="AJ368" s="18">
        <f>$H368*K368</f>
      </c>
      <c r="AK368" s="18">
        <f>$H368*L368</f>
      </c>
      <c r="AL368" s="18">
        <f>$H368*M368</f>
      </c>
      <c r="AM368" s="14"/>
      <c r="AN368" s="14"/>
      <c r="AO368" s="14"/>
    </row>
    <row x14ac:dyDescent="0.25" r="369" customHeight="1" ht="17.25">
      <c r="A369" s="2" t="s">
        <v>787</v>
      </c>
      <c r="B369" s="2" t="s">
        <v>429</v>
      </c>
      <c r="C369" s="2" t="s">
        <v>40</v>
      </c>
      <c r="D369" s="2" t="s">
        <v>64</v>
      </c>
      <c r="E369" s="12" t="s">
        <v>42</v>
      </c>
      <c r="F369" s="2" t="s">
        <v>561</v>
      </c>
      <c r="G369" s="2" t="s">
        <v>788</v>
      </c>
      <c r="H369" s="13">
        <v>0.05</v>
      </c>
      <c r="I369" s="13"/>
      <c r="J369" s="13">
        <v>4.5</v>
      </c>
      <c r="K369" s="14"/>
      <c r="L369" s="13"/>
      <c r="M369" s="13"/>
      <c r="N369" s="15"/>
      <c r="O369" s="16"/>
      <c r="P369" s="13"/>
      <c r="Q369" s="13"/>
      <c r="R369" s="17"/>
      <c r="S369" s="13"/>
      <c r="T369" s="17"/>
      <c r="U369" s="13"/>
      <c r="V369" s="16"/>
      <c r="W369" s="13"/>
      <c r="X369" s="13"/>
      <c r="Y369" s="14"/>
      <c r="Z369" s="2"/>
      <c r="AA369" s="13">
        <f>H369*I369/100</f>
      </c>
      <c r="AB369" s="13">
        <f>H369*J369/100</f>
      </c>
      <c r="AC369" s="15">
        <f>H369*K369</f>
      </c>
      <c r="AD369" s="15">
        <f>H369*M369</f>
      </c>
      <c r="AE369" s="13">
        <f>H369*L369/100</f>
      </c>
      <c r="AF369" s="13">
        <f>AA369+AB369+AE369</f>
      </c>
      <c r="AG369" s="13">
        <f>I369+J369+L369</f>
      </c>
      <c r="AH369" s="18">
        <f>$H369*I369</f>
      </c>
      <c r="AI369" s="18">
        <f>$H369*J369</f>
      </c>
      <c r="AJ369" s="18">
        <f>$H369*K369</f>
      </c>
      <c r="AK369" s="18">
        <f>$H369*L369</f>
      </c>
      <c r="AL369" s="18">
        <f>$H369*M369</f>
      </c>
      <c r="AM369" s="14"/>
      <c r="AN369" s="14"/>
      <c r="AO369" s="14"/>
    </row>
    <row x14ac:dyDescent="0.25" r="370" customHeight="1" ht="17.25">
      <c r="A370" s="2" t="s">
        <v>789</v>
      </c>
      <c r="B370" s="2" t="s">
        <v>429</v>
      </c>
      <c r="C370" s="2" t="s">
        <v>50</v>
      </c>
      <c r="D370" s="2"/>
      <c r="E370" s="12" t="s">
        <v>42</v>
      </c>
      <c r="F370" s="2" t="s">
        <v>473</v>
      </c>
      <c r="G370" s="2" t="s">
        <v>790</v>
      </c>
      <c r="H370" s="14">
        <v>1</v>
      </c>
      <c r="I370" s="13"/>
      <c r="J370" s="14">
        <v>2</v>
      </c>
      <c r="K370" s="14"/>
      <c r="L370" s="14">
        <v>2</v>
      </c>
      <c r="M370" s="13"/>
      <c r="N370" s="15"/>
      <c r="O370" s="16"/>
      <c r="P370" s="13"/>
      <c r="Q370" s="13"/>
      <c r="R370" s="17"/>
      <c r="S370" s="13"/>
      <c r="T370" s="17"/>
      <c r="U370" s="13"/>
      <c r="V370" s="16"/>
      <c r="W370" s="13"/>
      <c r="X370" s="13"/>
      <c r="Y370" s="14"/>
      <c r="Z370" s="2"/>
      <c r="AA370" s="13">
        <f>H370*I370/100</f>
      </c>
      <c r="AB370" s="13">
        <f>H370*J370/100</f>
      </c>
      <c r="AC370" s="15">
        <f>H370*K370</f>
      </c>
      <c r="AD370" s="15">
        <f>H370*M370</f>
      </c>
      <c r="AE370" s="13">
        <f>H370*L370/100</f>
      </c>
      <c r="AF370" s="13">
        <f>AA370+AB370+AE370</f>
      </c>
      <c r="AG370" s="13">
        <f>I370+J370+L370</f>
      </c>
      <c r="AH370" s="18">
        <f>$H370*I370</f>
      </c>
      <c r="AI370" s="18">
        <f>$H370*J370</f>
      </c>
      <c r="AJ370" s="18">
        <f>$H370*K370</f>
      </c>
      <c r="AK370" s="18">
        <f>$H370*L370</f>
      </c>
      <c r="AL370" s="18">
        <f>$H370*M370</f>
      </c>
      <c r="AM370" s="14"/>
      <c r="AN370" s="14"/>
      <c r="AO370" s="14"/>
    </row>
    <row x14ac:dyDescent="0.25" r="371" customHeight="1" ht="17.25">
      <c r="A371" s="2" t="s">
        <v>791</v>
      </c>
      <c r="B371" s="2" t="s">
        <v>429</v>
      </c>
      <c r="C371" s="2" t="s">
        <v>56</v>
      </c>
      <c r="D371" s="2"/>
      <c r="E371" s="12" t="s">
        <v>42</v>
      </c>
      <c r="F371" s="2" t="s">
        <v>43</v>
      </c>
      <c r="G371" s="2" t="s">
        <v>440</v>
      </c>
      <c r="H371" s="16">
        <f>0.0544+0.00808+0.019546+0.011398+0.027215</f>
      </c>
      <c r="I371" s="13">
        <f>(3.4*0.0544+18.8*0.00808+0.06*0.019546+7.75*0.011398+0*0.027215)/$H371</f>
      </c>
      <c r="J371" s="13">
        <f>(4.7*0.0544+42.6*0.00808+41.21*0.019546+2.84*0.011398+7.53*0.027215)/$H371</f>
      </c>
      <c r="K371" s="17">
        <f>(290*0.0544+1131*0.00808+226*0.019546+778.1*0.011398+41.13*0.027215)/$H371</f>
      </c>
      <c r="L371" s="13"/>
      <c r="M371" s="13"/>
      <c r="N371" s="15"/>
      <c r="O371" s="16"/>
      <c r="P371" s="13"/>
      <c r="Q371" s="13"/>
      <c r="R371" s="17"/>
      <c r="S371" s="13"/>
      <c r="T371" s="17"/>
      <c r="U371" s="13"/>
      <c r="V371" s="16"/>
      <c r="W371" s="13"/>
      <c r="X371" s="13"/>
      <c r="Y371" s="14"/>
      <c r="Z371" s="2"/>
      <c r="AA371" s="13">
        <f>H371*I371/100</f>
      </c>
      <c r="AB371" s="13">
        <f>H371*J371/100</f>
      </c>
      <c r="AC371" s="15">
        <f>H371*K371</f>
      </c>
      <c r="AD371" s="15">
        <f>H371*M371</f>
      </c>
      <c r="AE371" s="13">
        <f>H371*L371/100</f>
      </c>
      <c r="AF371" s="13">
        <f>AA371+AB371+AE371</f>
      </c>
      <c r="AG371" s="13">
        <f>I371+J371+L371</f>
      </c>
      <c r="AH371" s="18">
        <f>$H371*I371</f>
      </c>
      <c r="AI371" s="18">
        <f>$H371*J371</f>
      </c>
      <c r="AJ371" s="18">
        <f>$H371*K371</f>
      </c>
      <c r="AK371" s="18">
        <f>$H371*L371</f>
      </c>
      <c r="AL371" s="18">
        <f>$H371*M371</f>
      </c>
      <c r="AM371" s="14"/>
      <c r="AN371" s="14"/>
      <c r="AO371" s="14"/>
    </row>
    <row x14ac:dyDescent="0.25" r="372" customHeight="1" ht="17.25">
      <c r="A372" s="2" t="s">
        <v>792</v>
      </c>
      <c r="B372" s="2" t="s">
        <v>429</v>
      </c>
      <c r="C372" s="2" t="s">
        <v>159</v>
      </c>
      <c r="D372" s="2"/>
      <c r="E372" s="12" t="s">
        <v>42</v>
      </c>
      <c r="F372" s="2" t="s">
        <v>43</v>
      </c>
      <c r="G372" s="2" t="s">
        <v>440</v>
      </c>
      <c r="H372" s="16">
        <v>0.083906</v>
      </c>
      <c r="I372" s="13">
        <v>3.7</v>
      </c>
      <c r="J372" s="13">
        <v>12.5</v>
      </c>
      <c r="K372" s="13">
        <v>64.4</v>
      </c>
      <c r="L372" s="13">
        <v>1.69</v>
      </c>
      <c r="M372" s="13"/>
      <c r="N372" s="15"/>
      <c r="O372" s="16"/>
      <c r="P372" s="13"/>
      <c r="Q372" s="13"/>
      <c r="R372" s="17"/>
      <c r="S372" s="13"/>
      <c r="T372" s="17"/>
      <c r="U372" s="13"/>
      <c r="V372" s="16"/>
      <c r="W372" s="13"/>
      <c r="X372" s="13"/>
      <c r="Y372" s="14"/>
      <c r="Z372" s="2"/>
      <c r="AA372" s="13">
        <f>H372*I372/100</f>
      </c>
      <c r="AB372" s="13">
        <f>H372*J372/100</f>
      </c>
      <c r="AC372" s="15">
        <f>H372*K372</f>
      </c>
      <c r="AD372" s="15">
        <f>H372*M372</f>
      </c>
      <c r="AE372" s="13">
        <f>H372*L372/100</f>
      </c>
      <c r="AF372" s="13">
        <f>AA372+AB372+AE372</f>
      </c>
      <c r="AG372" s="13">
        <f>I372+J372+L372</f>
      </c>
      <c r="AH372" s="18">
        <f>$H372*I372</f>
      </c>
      <c r="AI372" s="18">
        <f>$H372*J372</f>
      </c>
      <c r="AJ372" s="18">
        <f>$H372*K372</f>
      </c>
      <c r="AK372" s="18">
        <f>$H372*L372</f>
      </c>
      <c r="AL372" s="18">
        <f>$H372*M372</f>
      </c>
      <c r="AM372" s="14"/>
      <c r="AN372" s="14"/>
      <c r="AO372" s="14"/>
    </row>
    <row x14ac:dyDescent="0.25" r="373" customHeight="1" ht="17.25">
      <c r="A373" s="2" t="s">
        <v>793</v>
      </c>
      <c r="B373" s="2" t="s">
        <v>429</v>
      </c>
      <c r="C373" s="2" t="s">
        <v>56</v>
      </c>
      <c r="D373" s="2"/>
      <c r="E373" s="12" t="s">
        <v>42</v>
      </c>
      <c r="F373" s="2" t="s">
        <v>43</v>
      </c>
      <c r="G373" s="2" t="s">
        <v>440</v>
      </c>
      <c r="H373" s="13">
        <v>1.36</v>
      </c>
      <c r="I373" s="13">
        <v>0.17</v>
      </c>
      <c r="J373" s="13">
        <v>0.08</v>
      </c>
      <c r="K373" s="13">
        <v>4.2</v>
      </c>
      <c r="L373" s="13">
        <v>0.01</v>
      </c>
      <c r="M373" s="13">
        <v>0.06</v>
      </c>
      <c r="N373" s="15"/>
      <c r="O373" s="16"/>
      <c r="P373" s="13"/>
      <c r="Q373" s="13"/>
      <c r="R373" s="17"/>
      <c r="S373" s="13"/>
      <c r="T373" s="17"/>
      <c r="U373" s="13"/>
      <c r="V373" s="16"/>
      <c r="W373" s="13"/>
      <c r="X373" s="13"/>
      <c r="Y373" s="13">
        <v>2.48</v>
      </c>
      <c r="Z373" s="2" t="s">
        <v>794</v>
      </c>
      <c r="AA373" s="13">
        <f>H373*I373/100</f>
      </c>
      <c r="AB373" s="13">
        <f>H373*J373/100</f>
      </c>
      <c r="AC373" s="15">
        <f>H373*K373</f>
      </c>
      <c r="AD373" s="15">
        <f>H373*M373</f>
      </c>
      <c r="AE373" s="13">
        <f>H373*L373/100</f>
      </c>
      <c r="AF373" s="13">
        <f>AA373+AB373+AE373</f>
      </c>
      <c r="AG373" s="13">
        <f>I373+J373+L373</f>
      </c>
      <c r="AH373" s="18">
        <f>$H373*I373</f>
      </c>
      <c r="AI373" s="18">
        <f>$H373*J373</f>
      </c>
      <c r="AJ373" s="18">
        <f>$H373*K373</f>
      </c>
      <c r="AK373" s="18">
        <f>$H373*L373</f>
      </c>
      <c r="AL373" s="18">
        <f>$H373*M373</f>
      </c>
      <c r="AM373" s="14"/>
      <c r="AN373" s="14"/>
      <c r="AO373" s="14"/>
    </row>
    <row x14ac:dyDescent="0.25" r="374" customHeight="1" ht="17.25">
      <c r="A374" s="2" t="s">
        <v>795</v>
      </c>
      <c r="B374" s="2" t="s">
        <v>429</v>
      </c>
      <c r="C374" s="2" t="s">
        <v>56</v>
      </c>
      <c r="D374" s="2"/>
      <c r="E374" s="12" t="s">
        <v>42</v>
      </c>
      <c r="F374" s="2" t="s">
        <v>796</v>
      </c>
      <c r="G374" s="2" t="s">
        <v>440</v>
      </c>
      <c r="H374" s="16">
        <v>0.590703</v>
      </c>
      <c r="I374" s="13">
        <v>2.66</v>
      </c>
      <c r="J374" s="13">
        <v>1.26</v>
      </c>
      <c r="K374" s="13">
        <v>71.6</v>
      </c>
      <c r="L374" s="13">
        <v>1.1</v>
      </c>
      <c r="M374" s="13">
        <v>1.19</v>
      </c>
      <c r="N374" s="15"/>
      <c r="O374" s="16"/>
      <c r="P374" s="13"/>
      <c r="Q374" s="13"/>
      <c r="R374" s="17"/>
      <c r="S374" s="13"/>
      <c r="T374" s="17"/>
      <c r="U374" s="13"/>
      <c r="V374" s="16"/>
      <c r="W374" s="13"/>
      <c r="X374" s="13"/>
      <c r="Y374" s="14"/>
      <c r="Z374" s="2"/>
      <c r="AA374" s="13">
        <f>H374*I374/100</f>
      </c>
      <c r="AB374" s="13">
        <f>H374*J374/100</f>
      </c>
      <c r="AC374" s="15">
        <f>H374*K374</f>
      </c>
      <c r="AD374" s="15">
        <f>H374*M374</f>
      </c>
      <c r="AE374" s="13">
        <f>H374*L374/100</f>
      </c>
      <c r="AF374" s="13">
        <f>AA374+AB374+AE374</f>
      </c>
      <c r="AG374" s="13">
        <f>I374+J374+L374</f>
      </c>
      <c r="AH374" s="18">
        <f>$H374*I374</f>
      </c>
      <c r="AI374" s="18">
        <f>$H374*J374</f>
      </c>
      <c r="AJ374" s="18">
        <f>$H374*K374</f>
      </c>
      <c r="AK374" s="18">
        <f>$H374*L374</f>
      </c>
      <c r="AL374" s="18">
        <f>$H374*M374</f>
      </c>
      <c r="AM374" s="14"/>
      <c r="AN374" s="14"/>
      <c r="AO374" s="14"/>
    </row>
    <row x14ac:dyDescent="0.25" r="375" customHeight="1" ht="17.25">
      <c r="A375" s="2" t="s">
        <v>797</v>
      </c>
      <c r="B375" s="2" t="s">
        <v>429</v>
      </c>
      <c r="C375" s="2" t="s">
        <v>40</v>
      </c>
      <c r="D375" s="2" t="s">
        <v>64</v>
      </c>
      <c r="E375" s="12" t="s">
        <v>42</v>
      </c>
      <c r="F375" s="2" t="s">
        <v>43</v>
      </c>
      <c r="G375" s="2" t="s">
        <v>463</v>
      </c>
      <c r="H375" s="13">
        <v>0.025</v>
      </c>
      <c r="I375" s="13">
        <v>3.7</v>
      </c>
      <c r="J375" s="13">
        <v>15.6</v>
      </c>
      <c r="K375" s="13">
        <v>76.3</v>
      </c>
      <c r="L375" s="13"/>
      <c r="M375" s="13"/>
      <c r="N375" s="15"/>
      <c r="O375" s="16"/>
      <c r="P375" s="13"/>
      <c r="Q375" s="13"/>
      <c r="R375" s="17"/>
      <c r="S375" s="13"/>
      <c r="T375" s="17"/>
      <c r="U375" s="13"/>
      <c r="V375" s="16"/>
      <c r="W375" s="13"/>
      <c r="X375" s="13"/>
      <c r="Y375" s="14"/>
      <c r="Z375" s="2"/>
      <c r="AA375" s="13">
        <f>H375*I375/100</f>
      </c>
      <c r="AB375" s="13">
        <f>H375*J375/100</f>
      </c>
      <c r="AC375" s="15">
        <f>H375*K375</f>
      </c>
      <c r="AD375" s="15">
        <f>H375*M375</f>
      </c>
      <c r="AE375" s="13">
        <f>H375*L375/100</f>
      </c>
      <c r="AF375" s="13">
        <f>AA375+AB375+AE375</f>
      </c>
      <c r="AG375" s="13">
        <f>I375+J375+L375</f>
      </c>
      <c r="AH375" s="18">
        <f>$H375*I375</f>
      </c>
      <c r="AI375" s="18">
        <f>$H375*J375</f>
      </c>
      <c r="AJ375" s="18">
        <f>$H375*K375</f>
      </c>
      <c r="AK375" s="18">
        <f>$H375*L375</f>
      </c>
      <c r="AL375" s="18">
        <f>$H375*M375</f>
      </c>
      <c r="AM375" s="14"/>
      <c r="AN375" s="14"/>
      <c r="AO375" s="14"/>
    </row>
    <row x14ac:dyDescent="0.25" r="376" customHeight="1" ht="17.25">
      <c r="A376" s="2" t="s">
        <v>798</v>
      </c>
      <c r="B376" s="2" t="s">
        <v>429</v>
      </c>
      <c r="C376" s="2" t="s">
        <v>50</v>
      </c>
      <c r="D376" s="2"/>
      <c r="E376" s="2" t="s">
        <v>52</v>
      </c>
      <c r="F376" s="2" t="s">
        <v>489</v>
      </c>
      <c r="G376" s="2" t="s">
        <v>623</v>
      </c>
      <c r="H376" s="16">
        <v>5.5245</v>
      </c>
      <c r="I376" s="13">
        <v>2.59</v>
      </c>
      <c r="J376" s="13">
        <v>6.11</v>
      </c>
      <c r="K376" s="13">
        <v>54.21</v>
      </c>
      <c r="L376" s="13">
        <v>0.4</v>
      </c>
      <c r="M376" s="13">
        <v>0.62</v>
      </c>
      <c r="N376" s="15"/>
      <c r="O376" s="16"/>
      <c r="P376" s="13"/>
      <c r="Q376" s="13"/>
      <c r="R376" s="17"/>
      <c r="S376" s="13"/>
      <c r="T376" s="17"/>
      <c r="U376" s="13"/>
      <c r="V376" s="16"/>
      <c r="W376" s="13"/>
      <c r="X376" s="13"/>
      <c r="Y376" s="14"/>
      <c r="Z376" s="2"/>
      <c r="AA376" s="13">
        <f>H376*I376/100</f>
      </c>
      <c r="AB376" s="13">
        <f>H376*J376/100</f>
      </c>
      <c r="AC376" s="15">
        <f>H376*K376</f>
      </c>
      <c r="AD376" s="15">
        <f>H376*M376</f>
      </c>
      <c r="AE376" s="13">
        <f>H376*L376/100</f>
      </c>
      <c r="AF376" s="13">
        <f>AA376+AB376+AE376</f>
      </c>
      <c r="AG376" s="13">
        <f>I376+J376+L376</f>
      </c>
      <c r="AH376" s="18">
        <f>$H376*I376</f>
      </c>
      <c r="AI376" s="18">
        <f>$H376*J376</f>
      </c>
      <c r="AJ376" s="18">
        <f>$H376*K376</f>
      </c>
      <c r="AK376" s="18">
        <f>$H376*L376</f>
      </c>
      <c r="AL376" s="18">
        <f>$H376*M376</f>
      </c>
      <c r="AM376" s="14"/>
      <c r="AN376" s="14"/>
      <c r="AO376" s="14"/>
    </row>
    <row x14ac:dyDescent="0.25" r="377" customHeight="1" ht="17.25">
      <c r="A377" s="2" t="s">
        <v>799</v>
      </c>
      <c r="B377" s="2" t="s">
        <v>429</v>
      </c>
      <c r="C377" s="2" t="s">
        <v>40</v>
      </c>
      <c r="D377" s="2" t="s">
        <v>64</v>
      </c>
      <c r="E377" s="12" t="s">
        <v>42</v>
      </c>
      <c r="F377" s="2" t="s">
        <v>43</v>
      </c>
      <c r="G377" s="2" t="s">
        <v>463</v>
      </c>
      <c r="H377" s="13">
        <f>161.97-149.173608</f>
      </c>
      <c r="I377" s="15">
        <f>(6.08*161.97-5.64*149.173608)/$H377</f>
      </c>
      <c r="J377" s="15">
        <f>(5.86*161.97-5.33*149.173608)/$H377</f>
      </c>
      <c r="K377" s="17">
        <f>(67.36*161.97-62.1*149.173608)/$H377</f>
      </c>
      <c r="L377" s="13"/>
      <c r="M377" s="13"/>
      <c r="N377" s="15"/>
      <c r="O377" s="16"/>
      <c r="P377" s="13"/>
      <c r="Q377" s="13"/>
      <c r="R377" s="17"/>
      <c r="S377" s="13"/>
      <c r="T377" s="17"/>
      <c r="U377" s="13"/>
      <c r="V377" s="16"/>
      <c r="W377" s="13"/>
      <c r="X377" s="13"/>
      <c r="Y377" s="14"/>
      <c r="Z377" s="2"/>
      <c r="AA377" s="13">
        <f>H377*I377/100</f>
      </c>
      <c r="AB377" s="13">
        <f>H377*J377/100</f>
      </c>
      <c r="AC377" s="15">
        <f>H377*K377</f>
      </c>
      <c r="AD377" s="15">
        <f>H377*M377</f>
      </c>
      <c r="AE377" s="13">
        <f>H377*L377/100</f>
      </c>
      <c r="AF377" s="13">
        <f>AA377+AB377+AE377</f>
      </c>
      <c r="AG377" s="13">
        <f>I377+J377+L377</f>
      </c>
      <c r="AH377" s="18">
        <f>$H377*I377</f>
      </c>
      <c r="AI377" s="18">
        <f>$H377*J377</f>
      </c>
      <c r="AJ377" s="18">
        <f>$H377*K377</f>
      </c>
      <c r="AK377" s="18">
        <f>$H377*L377</f>
      </c>
      <c r="AL377" s="18">
        <f>$H377*M377</f>
      </c>
      <c r="AM377" s="14"/>
      <c r="AN377" s="14"/>
      <c r="AO377" s="14"/>
    </row>
    <row x14ac:dyDescent="0.25" r="378" customHeight="1" ht="17.25">
      <c r="A378" s="2" t="s">
        <v>800</v>
      </c>
      <c r="B378" s="2" t="s">
        <v>429</v>
      </c>
      <c r="C378" s="2" t="s">
        <v>40</v>
      </c>
      <c r="D378" s="2" t="s">
        <v>64</v>
      </c>
      <c r="E378" s="12" t="s">
        <v>42</v>
      </c>
      <c r="F378" s="2" t="s">
        <v>43</v>
      </c>
      <c r="G378" s="2" t="s">
        <v>440</v>
      </c>
      <c r="H378" s="13">
        <v>0.244</v>
      </c>
      <c r="I378" s="14">
        <v>1</v>
      </c>
      <c r="J378" s="13">
        <v>4.5</v>
      </c>
      <c r="K378" s="13">
        <v>27.4</v>
      </c>
      <c r="L378" s="13">
        <v>0.7</v>
      </c>
      <c r="M378" s="13"/>
      <c r="N378" s="15"/>
      <c r="O378" s="16"/>
      <c r="P378" s="13"/>
      <c r="Q378" s="13"/>
      <c r="R378" s="17"/>
      <c r="S378" s="13"/>
      <c r="T378" s="17"/>
      <c r="U378" s="13"/>
      <c r="V378" s="16"/>
      <c r="W378" s="13"/>
      <c r="X378" s="13"/>
      <c r="Y378" s="14"/>
      <c r="Z378" s="2"/>
      <c r="AA378" s="13">
        <f>H378*I378/100</f>
      </c>
      <c r="AB378" s="13">
        <f>H378*J378/100</f>
      </c>
      <c r="AC378" s="15">
        <f>H378*K378</f>
      </c>
      <c r="AD378" s="15">
        <f>H378*M378</f>
      </c>
      <c r="AE378" s="13">
        <f>H378*L378/100</f>
      </c>
      <c r="AF378" s="13">
        <f>AA378+AB378+AE378</f>
      </c>
      <c r="AG378" s="13">
        <f>I378+J378+L378</f>
      </c>
      <c r="AH378" s="18">
        <f>$H378*I378</f>
      </c>
      <c r="AI378" s="18">
        <f>$H378*J378</f>
      </c>
      <c r="AJ378" s="18">
        <f>$H378*K378</f>
      </c>
      <c r="AK378" s="18">
        <f>$H378*L378</f>
      </c>
      <c r="AL378" s="18">
        <f>$H378*M378</f>
      </c>
      <c r="AM378" s="14"/>
      <c r="AN378" s="14"/>
      <c r="AO378" s="14"/>
    </row>
    <row x14ac:dyDescent="0.25" r="379" customHeight="1" ht="17.25">
      <c r="A379" s="2" t="s">
        <v>801</v>
      </c>
      <c r="B379" s="2" t="s">
        <v>429</v>
      </c>
      <c r="C379" s="2" t="s">
        <v>620</v>
      </c>
      <c r="D379" s="2"/>
      <c r="E379" s="2" t="s">
        <v>52</v>
      </c>
      <c r="F379" s="2" t="s">
        <v>80</v>
      </c>
      <c r="G379" s="2" t="s">
        <v>73</v>
      </c>
      <c r="H379" s="13">
        <f>1.5+2.6</f>
      </c>
      <c r="I379" s="13">
        <f>(2.39*1.5+1.92*2.6)/$H379</f>
      </c>
      <c r="J379" s="13">
        <f>(5.99*1.5+4.42*2.6)/$H379</f>
      </c>
      <c r="K379" s="15">
        <f>(262*1.5+169*2.6)/$H379</f>
      </c>
      <c r="L379" s="13"/>
      <c r="M379" s="15">
        <f>(0.7*1.5+0.5*2.6)/$H379</f>
      </c>
      <c r="N379" s="15"/>
      <c r="O379" s="16"/>
      <c r="P379" s="13"/>
      <c r="Q379" s="13"/>
      <c r="R379" s="17"/>
      <c r="S379" s="13"/>
      <c r="T379" s="17"/>
      <c r="U379" s="13"/>
      <c r="V379" s="16"/>
      <c r="W379" s="13"/>
      <c r="X379" s="13"/>
      <c r="Y379" s="14"/>
      <c r="Z379" s="2"/>
      <c r="AA379" s="13">
        <f>H379*I379/100</f>
      </c>
      <c r="AB379" s="13">
        <f>H379*J379/100</f>
      </c>
      <c r="AC379" s="15">
        <f>H379*K379</f>
      </c>
      <c r="AD379" s="15">
        <f>H379*M379</f>
      </c>
      <c r="AE379" s="13">
        <f>H379*L379/100</f>
      </c>
      <c r="AF379" s="13">
        <f>AA379+AB379+AE379</f>
      </c>
      <c r="AG379" s="13">
        <f>I379+J379+L379</f>
      </c>
      <c r="AH379" s="18">
        <f>$H379*I379</f>
      </c>
      <c r="AI379" s="18">
        <f>$H379*J379</f>
      </c>
      <c r="AJ379" s="18">
        <f>$H379*K379</f>
      </c>
      <c r="AK379" s="18">
        <f>$H379*L379</f>
      </c>
      <c r="AL379" s="18">
        <f>$H379*M379</f>
      </c>
      <c r="AM379" s="14"/>
      <c r="AN379" s="14"/>
      <c r="AO379" s="14"/>
    </row>
    <row x14ac:dyDescent="0.25" r="380" customHeight="1" ht="17.25">
      <c r="A380" s="2" t="s">
        <v>802</v>
      </c>
      <c r="B380" s="2" t="s">
        <v>429</v>
      </c>
      <c r="C380" s="2" t="s">
        <v>40</v>
      </c>
      <c r="D380" s="2"/>
      <c r="E380" s="12" t="s">
        <v>42</v>
      </c>
      <c r="F380" s="2" t="s">
        <v>43</v>
      </c>
      <c r="G380" s="2" t="s">
        <v>803</v>
      </c>
      <c r="H380" s="13">
        <v>4.3</v>
      </c>
      <c r="I380" s="13">
        <v>3.8</v>
      </c>
      <c r="J380" s="13">
        <v>4.7</v>
      </c>
      <c r="K380" s="14">
        <v>42</v>
      </c>
      <c r="L380" s="13">
        <v>0.27</v>
      </c>
      <c r="M380" s="13">
        <v>0.7</v>
      </c>
      <c r="N380" s="15"/>
      <c r="O380" s="16"/>
      <c r="P380" s="13"/>
      <c r="Q380" s="13"/>
      <c r="R380" s="17"/>
      <c r="S380" s="13"/>
      <c r="T380" s="17"/>
      <c r="U380" s="13"/>
      <c r="V380" s="16"/>
      <c r="W380" s="13"/>
      <c r="X380" s="13"/>
      <c r="Y380" s="14"/>
      <c r="Z380" s="2"/>
      <c r="AA380" s="13">
        <f>H380*I380/100</f>
      </c>
      <c r="AB380" s="13">
        <f>H380*J380/100</f>
      </c>
      <c r="AC380" s="15">
        <f>H380*K380</f>
      </c>
      <c r="AD380" s="15">
        <f>H380*M380</f>
      </c>
      <c r="AE380" s="13">
        <f>H380*L380/100</f>
      </c>
      <c r="AF380" s="13">
        <f>AA380+AB380+AE380</f>
      </c>
      <c r="AG380" s="13">
        <f>I380+J380+L380</f>
      </c>
      <c r="AH380" s="18">
        <f>$H380*I380</f>
      </c>
      <c r="AI380" s="18">
        <f>$H380*J380</f>
      </c>
      <c r="AJ380" s="18">
        <f>$H380*K380</f>
      </c>
      <c r="AK380" s="18">
        <f>$H380*L380</f>
      </c>
      <c r="AL380" s="18">
        <f>$H380*M380</f>
      </c>
      <c r="AM380" s="14"/>
      <c r="AN380" s="14"/>
      <c r="AO380" s="14"/>
    </row>
    <row x14ac:dyDescent="0.25" r="381" customHeight="1" ht="17.25">
      <c r="A381" s="2" t="s">
        <v>804</v>
      </c>
      <c r="B381" s="2" t="s">
        <v>429</v>
      </c>
      <c r="C381" s="2" t="s">
        <v>50</v>
      </c>
      <c r="D381" s="2"/>
      <c r="E381" s="12" t="s">
        <v>42</v>
      </c>
      <c r="F381" s="2" t="s">
        <v>805</v>
      </c>
      <c r="G381" s="2" t="s">
        <v>790</v>
      </c>
      <c r="H381" s="16">
        <f>3.377+0.488583</f>
      </c>
      <c r="I381" s="13">
        <f>(0.42*3.377+0.23*0.488583)/$H381</f>
      </c>
      <c r="J381" s="13">
        <f>(2.26*3.377+1.1*0.488583)/$H381</f>
      </c>
      <c r="K381" s="15">
        <f>(25.37*3.377+13.71*0.488583)/$H381</f>
      </c>
      <c r="L381" s="13">
        <f>(0.29*3.377+0.67*0.488583)/$H381</f>
      </c>
      <c r="M381" s="13">
        <f>(0.41*3.377+0.1*0.488583)/$H381</f>
      </c>
      <c r="N381" s="15"/>
      <c r="O381" s="16"/>
      <c r="P381" s="13"/>
      <c r="Q381" s="13"/>
      <c r="R381" s="17"/>
      <c r="S381" s="13"/>
      <c r="T381" s="17"/>
      <c r="U381" s="13"/>
      <c r="V381" s="16"/>
      <c r="W381" s="13"/>
      <c r="X381" s="13"/>
      <c r="Y381" s="14"/>
      <c r="Z381" s="2"/>
      <c r="AA381" s="13">
        <f>H381*I381/100</f>
      </c>
      <c r="AB381" s="13">
        <f>H381*J381/100</f>
      </c>
      <c r="AC381" s="15">
        <f>H381*K381</f>
      </c>
      <c r="AD381" s="15">
        <f>H381*M381</f>
      </c>
      <c r="AE381" s="13">
        <f>H381*L381/100</f>
      </c>
      <c r="AF381" s="13">
        <f>AA381+AB381+AE381</f>
      </c>
      <c r="AG381" s="13">
        <f>I381+J381+L381</f>
      </c>
      <c r="AH381" s="18">
        <f>$H381*I381</f>
      </c>
      <c r="AI381" s="18">
        <f>$H381*J381</f>
      </c>
      <c r="AJ381" s="18">
        <f>$H381*K381</f>
      </c>
      <c r="AK381" s="18">
        <f>$H381*L381</f>
      </c>
      <c r="AL381" s="18">
        <f>$H381*M381</f>
      </c>
      <c r="AM381" s="14"/>
      <c r="AN381" s="14"/>
      <c r="AO381" s="14"/>
    </row>
    <row x14ac:dyDescent="0.25" r="382" customHeight="1" ht="17.25">
      <c r="A382" s="2" t="s">
        <v>806</v>
      </c>
      <c r="B382" s="2" t="s">
        <v>429</v>
      </c>
      <c r="C382" s="2" t="s">
        <v>50</v>
      </c>
      <c r="D382" s="2"/>
      <c r="E382" s="12" t="s">
        <v>42</v>
      </c>
      <c r="F382" s="2" t="s">
        <v>805</v>
      </c>
      <c r="G382" s="2" t="s">
        <v>790</v>
      </c>
      <c r="H382" s="13">
        <v>22.8</v>
      </c>
      <c r="I382" s="13">
        <v>0.64</v>
      </c>
      <c r="J382" s="13">
        <v>1.82</v>
      </c>
      <c r="K382" s="13">
        <v>32.23</v>
      </c>
      <c r="L382" s="13">
        <v>0.56</v>
      </c>
      <c r="M382" s="13">
        <v>1.17</v>
      </c>
      <c r="N382" s="15"/>
      <c r="O382" s="16"/>
      <c r="P382" s="13"/>
      <c r="Q382" s="13"/>
      <c r="R382" s="17"/>
      <c r="S382" s="13"/>
      <c r="T382" s="17"/>
      <c r="U382" s="13"/>
      <c r="V382" s="16"/>
      <c r="W382" s="13"/>
      <c r="X382" s="13"/>
      <c r="Y382" s="14"/>
      <c r="Z382" s="2"/>
      <c r="AA382" s="13">
        <f>H382*I382/100</f>
      </c>
      <c r="AB382" s="13">
        <f>H382*J382/100</f>
      </c>
      <c r="AC382" s="15">
        <f>H382*K382</f>
      </c>
      <c r="AD382" s="15">
        <f>H382*M382</f>
      </c>
      <c r="AE382" s="13">
        <f>H382*L382/100</f>
      </c>
      <c r="AF382" s="13">
        <f>AA382+AB382+AE382</f>
      </c>
      <c r="AG382" s="13">
        <f>I382+J382+L382</f>
      </c>
      <c r="AH382" s="18">
        <f>$H382*I382</f>
      </c>
      <c r="AI382" s="18">
        <f>$H382*J382</f>
      </c>
      <c r="AJ382" s="18">
        <f>$H382*K382</f>
      </c>
      <c r="AK382" s="18">
        <f>$H382*L382</f>
      </c>
      <c r="AL382" s="18">
        <f>$H382*M382</f>
      </c>
      <c r="AM382" s="14"/>
      <c r="AN382" s="14"/>
      <c r="AO382" s="14"/>
    </row>
    <row x14ac:dyDescent="0.25" r="383" customHeight="1" ht="17.25">
      <c r="A383" s="2" t="s">
        <v>807</v>
      </c>
      <c r="B383" s="2" t="s">
        <v>429</v>
      </c>
      <c r="C383" s="2" t="s">
        <v>50</v>
      </c>
      <c r="D383" s="2"/>
      <c r="E383" s="12" t="s">
        <v>42</v>
      </c>
      <c r="F383" s="2" t="s">
        <v>805</v>
      </c>
      <c r="G383" s="2" t="s">
        <v>790</v>
      </c>
      <c r="H383" s="13">
        <v>0.131</v>
      </c>
      <c r="I383" s="13">
        <v>2.69</v>
      </c>
      <c r="J383" s="13">
        <v>8.43</v>
      </c>
      <c r="K383" s="14">
        <v>101</v>
      </c>
      <c r="L383" s="13">
        <v>0.28</v>
      </c>
      <c r="M383" s="13">
        <v>3.1</v>
      </c>
      <c r="N383" s="15"/>
      <c r="O383" s="16"/>
      <c r="P383" s="13"/>
      <c r="Q383" s="13"/>
      <c r="R383" s="17"/>
      <c r="S383" s="13"/>
      <c r="T383" s="17"/>
      <c r="U383" s="13"/>
      <c r="V383" s="16"/>
      <c r="W383" s="13"/>
      <c r="X383" s="13"/>
      <c r="Y383" s="14"/>
      <c r="Z383" s="2"/>
      <c r="AA383" s="13">
        <f>H383*I383/100</f>
      </c>
      <c r="AB383" s="13">
        <f>H383*J383/100</f>
      </c>
      <c r="AC383" s="15">
        <f>H383*K383</f>
      </c>
      <c r="AD383" s="15">
        <f>H383*M383</f>
      </c>
      <c r="AE383" s="13">
        <f>H383*L383/100</f>
      </c>
      <c r="AF383" s="13">
        <f>AA383+AB383+AE383</f>
      </c>
      <c r="AG383" s="13">
        <f>I383+J383+L383</f>
      </c>
      <c r="AH383" s="18">
        <f>$H383*I383</f>
      </c>
      <c r="AI383" s="18">
        <f>$H383*J383</f>
      </c>
      <c r="AJ383" s="18">
        <f>$H383*K383</f>
      </c>
      <c r="AK383" s="18">
        <f>$H383*L383</f>
      </c>
      <c r="AL383" s="18">
        <f>$H383*M383</f>
      </c>
      <c r="AM383" s="14"/>
      <c r="AN383" s="14"/>
      <c r="AO383" s="14"/>
    </row>
    <row x14ac:dyDescent="0.25" r="384" customHeight="1" ht="17.25">
      <c r="A384" s="2" t="s">
        <v>808</v>
      </c>
      <c r="B384" s="2" t="s">
        <v>429</v>
      </c>
      <c r="C384" s="2" t="s">
        <v>189</v>
      </c>
      <c r="D384" s="2"/>
      <c r="E384" s="2" t="s">
        <v>52</v>
      </c>
      <c r="F384" s="2" t="s">
        <v>809</v>
      </c>
      <c r="G384" s="2" t="s">
        <v>810</v>
      </c>
      <c r="H384" s="13">
        <f>1.87+2.66</f>
      </c>
      <c r="I384" s="13">
        <f>(0.67*1.87+0.45*2.66)/$H384</f>
      </c>
      <c r="J384" s="13">
        <f>(1.13*1.87+0.76*2.66)/$H384</f>
      </c>
      <c r="K384" s="15">
        <f>(35.73*1.87+24.02*2.66)/$H384</f>
      </c>
      <c r="L384" s="13">
        <f>(0.21*1.87+0.14*2.66)/$H384</f>
      </c>
      <c r="M384" s="13">
        <f>(1.25*1.87+0.85*2.66)/$H384</f>
      </c>
      <c r="N384" s="15"/>
      <c r="O384" s="16"/>
      <c r="P384" s="13"/>
      <c r="Q384" s="13"/>
      <c r="R384" s="17"/>
      <c r="S384" s="13"/>
      <c r="T384" s="17"/>
      <c r="U384" s="13"/>
      <c r="V384" s="16"/>
      <c r="W384" s="13"/>
      <c r="X384" s="13"/>
      <c r="Y384" s="14"/>
      <c r="Z384" s="2"/>
      <c r="AA384" s="13">
        <f>H384*I384/100</f>
      </c>
      <c r="AB384" s="13">
        <f>H384*J384/100</f>
      </c>
      <c r="AC384" s="15">
        <f>H384*K384</f>
      </c>
      <c r="AD384" s="15">
        <f>H384*M384</f>
      </c>
      <c r="AE384" s="13">
        <f>H384*L384/100</f>
      </c>
      <c r="AF384" s="13">
        <f>AA384+AB384+AE384</f>
      </c>
      <c r="AG384" s="13">
        <f>I384+J384+L384</f>
      </c>
      <c r="AH384" s="18">
        <f>$H384*I384</f>
      </c>
      <c r="AI384" s="18">
        <f>$H384*J384</f>
      </c>
      <c r="AJ384" s="18">
        <f>$H384*K384</f>
      </c>
      <c r="AK384" s="18">
        <f>$H384*L384</f>
      </c>
      <c r="AL384" s="18">
        <f>$H384*M384</f>
      </c>
      <c r="AM384" s="14"/>
      <c r="AN384" s="14"/>
      <c r="AO384" s="14"/>
    </row>
    <row x14ac:dyDescent="0.25" r="385" customHeight="1" ht="17.25">
      <c r="A385" s="2" t="s">
        <v>811</v>
      </c>
      <c r="B385" s="2" t="s">
        <v>429</v>
      </c>
      <c r="C385" s="2" t="s">
        <v>159</v>
      </c>
      <c r="D385" s="2"/>
      <c r="E385" s="12" t="s">
        <v>42</v>
      </c>
      <c r="F385" s="2" t="s">
        <v>43</v>
      </c>
      <c r="G385" s="2" t="s">
        <v>502</v>
      </c>
      <c r="H385" s="16">
        <v>0.090719</v>
      </c>
      <c r="I385" s="14">
        <v>6</v>
      </c>
      <c r="J385" s="14">
        <v>10</v>
      </c>
      <c r="K385" s="13">
        <v>687.5</v>
      </c>
      <c r="L385" s="13"/>
      <c r="M385" s="13"/>
      <c r="N385" s="15"/>
      <c r="O385" s="16"/>
      <c r="P385" s="13"/>
      <c r="Q385" s="13"/>
      <c r="R385" s="17"/>
      <c r="S385" s="13"/>
      <c r="T385" s="17"/>
      <c r="U385" s="13"/>
      <c r="V385" s="16"/>
      <c r="W385" s="13"/>
      <c r="X385" s="13"/>
      <c r="Y385" s="14"/>
      <c r="Z385" s="2"/>
      <c r="AA385" s="13">
        <f>H385*I385/100</f>
      </c>
      <c r="AB385" s="13">
        <f>H385*J385/100</f>
      </c>
      <c r="AC385" s="15">
        <f>H385*K385</f>
      </c>
      <c r="AD385" s="15">
        <f>H385*M385</f>
      </c>
      <c r="AE385" s="13">
        <f>H385*L385/100</f>
      </c>
      <c r="AF385" s="13">
        <f>AA385+AB385+AE385</f>
      </c>
      <c r="AG385" s="13">
        <f>I385+J385+L385</f>
      </c>
      <c r="AH385" s="18">
        <f>$H385*I385</f>
      </c>
      <c r="AI385" s="18">
        <f>$H385*J385</f>
      </c>
      <c r="AJ385" s="18">
        <f>$H385*K385</f>
      </c>
      <c r="AK385" s="18">
        <f>$H385*L385</f>
      </c>
      <c r="AL385" s="18">
        <f>$H385*M385</f>
      </c>
      <c r="AM385" s="14"/>
      <c r="AN385" s="14"/>
      <c r="AO385" s="14"/>
    </row>
    <row x14ac:dyDescent="0.25" r="386" customHeight="1" ht="17.25">
      <c r="A386" s="2" t="s">
        <v>812</v>
      </c>
      <c r="B386" s="2" t="s">
        <v>429</v>
      </c>
      <c r="C386" s="2" t="s">
        <v>50</v>
      </c>
      <c r="D386" s="2"/>
      <c r="E386" s="2" t="s">
        <v>52</v>
      </c>
      <c r="F386" s="2" t="s">
        <v>813</v>
      </c>
      <c r="G386" s="2" t="s">
        <v>814</v>
      </c>
      <c r="H386" s="13">
        <f>0.64+0.424</f>
      </c>
      <c r="I386" s="13">
        <f>(2.51*0.64+2.26*0.424)/$H386</f>
      </c>
      <c r="J386" s="13">
        <f>(3.51*0.64+3.2*0.424)/$H386</f>
      </c>
      <c r="K386" s="17">
        <f>(187*0.64+176*0.424)/$H386</f>
      </c>
      <c r="L386" s="13">
        <f>(0.14*0.64+0.14*0.424)/$H386</f>
      </c>
      <c r="M386" s="13">
        <f>(0.88*0.64+0.98*0.424)/$H386</f>
      </c>
      <c r="N386" s="15"/>
      <c r="O386" s="16"/>
      <c r="P386" s="13"/>
      <c r="Q386" s="13"/>
      <c r="R386" s="17"/>
      <c r="S386" s="13"/>
      <c r="T386" s="17"/>
      <c r="U386" s="13"/>
      <c r="V386" s="16"/>
      <c r="W386" s="13"/>
      <c r="X386" s="13"/>
      <c r="Y386" s="14"/>
      <c r="Z386" s="2"/>
      <c r="AA386" s="13">
        <f>H386*I386/100</f>
      </c>
      <c r="AB386" s="13">
        <f>H386*J386/100</f>
      </c>
      <c r="AC386" s="15">
        <f>H386*K386</f>
      </c>
      <c r="AD386" s="15">
        <f>H386*M386</f>
      </c>
      <c r="AE386" s="13">
        <f>H386*L386/100</f>
      </c>
      <c r="AF386" s="13">
        <f>AA386+AB386+AE386</f>
      </c>
      <c r="AG386" s="13">
        <f>I386+J386+L386</f>
      </c>
      <c r="AH386" s="18">
        <f>$H386*I386</f>
      </c>
      <c r="AI386" s="18">
        <f>$H386*J386</f>
      </c>
      <c r="AJ386" s="18">
        <f>$H386*K386</f>
      </c>
      <c r="AK386" s="18">
        <f>$H386*L386</f>
      </c>
      <c r="AL386" s="18">
        <f>$H386*M386</f>
      </c>
      <c r="AM386" s="14"/>
      <c r="AN386" s="14"/>
      <c r="AO386" s="14"/>
    </row>
    <row x14ac:dyDescent="0.25" r="387" customHeight="1" ht="17.25">
      <c r="A387" s="2" t="s">
        <v>815</v>
      </c>
      <c r="B387" s="2" t="s">
        <v>429</v>
      </c>
      <c r="C387" s="2" t="s">
        <v>40</v>
      </c>
      <c r="D387" s="2" t="s">
        <v>64</v>
      </c>
      <c r="E387" s="2" t="s">
        <v>52</v>
      </c>
      <c r="F387" s="2" t="s">
        <v>596</v>
      </c>
      <c r="G387" s="2" t="s">
        <v>617</v>
      </c>
      <c r="H387" s="13">
        <f>4.98+13.55</f>
      </c>
      <c r="I387" s="13">
        <f>(4.36*4.98+3.1*13.55)/$H387</f>
      </c>
      <c r="J387" s="13">
        <f>(6.64*4.98+6.68*13.55)/$H387</f>
      </c>
      <c r="K387" s="13">
        <f>(4.36*4.98+3.1*13.55)/$H387</f>
      </c>
      <c r="L387" s="13"/>
      <c r="M387" s="13"/>
      <c r="N387" s="15"/>
      <c r="O387" s="16"/>
      <c r="P387" s="13"/>
      <c r="Q387" s="13"/>
      <c r="R387" s="17"/>
      <c r="S387" s="13"/>
      <c r="T387" s="17"/>
      <c r="U387" s="13"/>
      <c r="V387" s="16"/>
      <c r="W387" s="13"/>
      <c r="X387" s="13"/>
      <c r="Y387" s="14"/>
      <c r="Z387" s="2"/>
      <c r="AA387" s="13">
        <f>H387*I387/100</f>
      </c>
      <c r="AB387" s="13">
        <f>H387*J387/100</f>
      </c>
      <c r="AC387" s="15">
        <f>H387*K387</f>
      </c>
      <c r="AD387" s="15">
        <f>H387*M387</f>
      </c>
      <c r="AE387" s="13">
        <f>H387*L387/100</f>
      </c>
      <c r="AF387" s="13">
        <f>AA387+AB387+AE387</f>
      </c>
      <c r="AG387" s="13">
        <f>I387+J387+L387</f>
      </c>
      <c r="AH387" s="18">
        <f>$H387*I387</f>
      </c>
      <c r="AI387" s="18">
        <f>$H387*J387</f>
      </c>
      <c r="AJ387" s="18">
        <f>$H387*K387</f>
      </c>
      <c r="AK387" s="18">
        <f>$H387*L387</f>
      </c>
      <c r="AL387" s="18">
        <f>$H387*M387</f>
      </c>
      <c r="AM387" s="14"/>
      <c r="AN387" s="14"/>
      <c r="AO387" s="14"/>
    </row>
    <row x14ac:dyDescent="0.25" r="388" customHeight="1" ht="17.25">
      <c r="A388" s="2" t="s">
        <v>816</v>
      </c>
      <c r="B388" s="2" t="s">
        <v>429</v>
      </c>
      <c r="C388" s="2" t="s">
        <v>40</v>
      </c>
      <c r="D388" s="2" t="s">
        <v>817</v>
      </c>
      <c r="E388" s="2" t="s">
        <v>52</v>
      </c>
      <c r="F388" s="2" t="s">
        <v>818</v>
      </c>
      <c r="G388" s="2" t="s">
        <v>431</v>
      </c>
      <c r="H388" s="13">
        <f>0.55+0.548+0.099</f>
      </c>
      <c r="I388" s="13"/>
      <c r="J388" s="13">
        <f>(4.23*0.55+3.09*0.548+1.23*0.099)/$H388</f>
      </c>
      <c r="K388" s="15">
        <f>(59.99*0.55+36.19*0.548+12.45*0.099)/$H388</f>
      </c>
      <c r="L388" s="13">
        <f>(2.3*0.55+1.18*0.548+1.19*0.099)/$H388</f>
      </c>
      <c r="M388" s="13">
        <f>(0.43*0.55+0.25*0.548+0*0.099)/$H388</f>
      </c>
      <c r="N388" s="15"/>
      <c r="O388" s="16"/>
      <c r="P388" s="13"/>
      <c r="Q388" s="13"/>
      <c r="R388" s="17"/>
      <c r="S388" s="13"/>
      <c r="T388" s="17"/>
      <c r="U388" s="13"/>
      <c r="V388" s="16"/>
      <c r="W388" s="13"/>
      <c r="X388" s="13"/>
      <c r="Y388" s="14"/>
      <c r="Z388" s="2"/>
      <c r="AA388" s="13">
        <f>H388*I388/100</f>
      </c>
      <c r="AB388" s="13">
        <f>H388*J388/100</f>
      </c>
      <c r="AC388" s="15">
        <f>H388*K388</f>
      </c>
      <c r="AD388" s="15">
        <f>H388*M388</f>
      </c>
      <c r="AE388" s="13">
        <f>H388*L388/100</f>
      </c>
      <c r="AF388" s="13">
        <f>AA388+AB388+AE388</f>
      </c>
      <c r="AG388" s="13">
        <f>I388+J388+L388</f>
      </c>
      <c r="AH388" s="18">
        <f>$H388*I388</f>
      </c>
      <c r="AI388" s="18">
        <f>$H388*J388</f>
      </c>
      <c r="AJ388" s="18">
        <f>$H388*K388</f>
      </c>
      <c r="AK388" s="18">
        <f>$H388*L388</f>
      </c>
      <c r="AL388" s="18">
        <f>$H388*M388</f>
      </c>
      <c r="AM388" s="14"/>
      <c r="AN388" s="14"/>
      <c r="AO388" s="14"/>
    </row>
    <row x14ac:dyDescent="0.25" r="389" customHeight="1" ht="17.25">
      <c r="A389" s="2" t="s">
        <v>819</v>
      </c>
      <c r="B389" s="2" t="s">
        <v>429</v>
      </c>
      <c r="C389" s="2" t="s">
        <v>56</v>
      </c>
      <c r="D389" s="2"/>
      <c r="E389" s="2" t="s">
        <v>52</v>
      </c>
      <c r="F389" s="2" t="s">
        <v>820</v>
      </c>
      <c r="G389" s="2" t="s">
        <v>733</v>
      </c>
      <c r="H389" s="16">
        <f>0.075+0.235</f>
      </c>
      <c r="I389" s="13">
        <f>(2.48*0.075+1.93*0.235)/$H389</f>
      </c>
      <c r="J389" s="13">
        <f>(2.84*0.075+3.09*0.235)/$H389</f>
      </c>
      <c r="K389" s="15">
        <f>(457.4*0.075+544.2*0.235)/$H389</f>
      </c>
      <c r="L389" s="13"/>
      <c r="M389" s="13"/>
      <c r="N389" s="15"/>
      <c r="O389" s="16"/>
      <c r="P389" s="13"/>
      <c r="Q389" s="13"/>
      <c r="R389" s="17"/>
      <c r="S389" s="13"/>
      <c r="T389" s="17"/>
      <c r="U389" s="13"/>
      <c r="V389" s="16"/>
      <c r="W389" s="13"/>
      <c r="X389" s="13"/>
      <c r="Y389" s="14"/>
      <c r="Z389" s="2"/>
      <c r="AA389" s="13">
        <f>H389*I389/100</f>
      </c>
      <c r="AB389" s="13">
        <f>H389*J389/100</f>
      </c>
      <c r="AC389" s="15">
        <f>H389*K389</f>
      </c>
      <c r="AD389" s="15">
        <f>H389*M389</f>
      </c>
      <c r="AE389" s="13">
        <f>H389*L389/100</f>
      </c>
      <c r="AF389" s="13">
        <f>AA389+AB389+AE389</f>
      </c>
      <c r="AG389" s="13">
        <f>I389+J389+L389</f>
      </c>
      <c r="AH389" s="18">
        <f>$H389*I389</f>
      </c>
      <c r="AI389" s="18">
        <f>$H389*J389</f>
      </c>
      <c r="AJ389" s="18">
        <f>$H389*K389</f>
      </c>
      <c r="AK389" s="18">
        <f>$H389*L389</f>
      </c>
      <c r="AL389" s="18">
        <f>$H389*M389</f>
      </c>
      <c r="AM389" s="14"/>
      <c r="AN389" s="14"/>
      <c r="AO389" s="14"/>
    </row>
    <row x14ac:dyDescent="0.25" r="390" customHeight="1" ht="17.25">
      <c r="A390" s="2" t="s">
        <v>821</v>
      </c>
      <c r="B390" s="2" t="s">
        <v>429</v>
      </c>
      <c r="C390" s="2" t="s">
        <v>50</v>
      </c>
      <c r="D390" s="2"/>
      <c r="E390" s="12" t="s">
        <v>42</v>
      </c>
      <c r="F390" s="2" t="s">
        <v>43</v>
      </c>
      <c r="G390" s="2" t="s">
        <v>440</v>
      </c>
      <c r="H390" s="16">
        <f>0.099802+0.025887+0.100616+0.029573+0.009453+0.037191+0.025398+0.023584+0.064846</f>
      </c>
      <c r="I390" s="15">
        <f>(8.75*0.099802+4.58*0.025887+5.61*0.100616+8.41*0.029573+16.06*0.009453+1.7*0.037191+6.19*0.025398+8.71*0.023584+1.09*0.064846)/$H390</f>
      </c>
      <c r="J390" s="13">
        <f>(3.7*0.099802+4.78*0.025887+2.88*0.100616+16.51*0.029573+14.91*0.009453+1.5*0.037191+6.34*0.025398+2.24*0.023584+9.49*0.064846)/$H390</f>
      </c>
      <c r="K390" s="15">
        <f>(416.5*0.099802+234.8*0.025887+195*0.100616+216.3*0.029573+504.2*0.009453+229.67*0.037191+254.7*0.025398+287.2*0.023584+41.1*0.064846)/$H390</f>
      </c>
      <c r="L390" s="13"/>
      <c r="M390" s="13">
        <f>(0.3*0.099802+0.1*0.025887+0.89*0.100616+1.2*0.029573+1.1*0.009453+2.74*0.037191+4.4*0.025398+0.13*0.023584+0.17*0.064846)/$H390</f>
      </c>
      <c r="N390" s="15"/>
      <c r="O390" s="16"/>
      <c r="P390" s="13"/>
      <c r="Q390" s="13"/>
      <c r="R390" s="17"/>
      <c r="S390" s="13"/>
      <c r="T390" s="17"/>
      <c r="U390" s="13"/>
      <c r="V390" s="16"/>
      <c r="W390" s="13"/>
      <c r="X390" s="13"/>
      <c r="Y390" s="14"/>
      <c r="Z390" s="2"/>
      <c r="AA390" s="13">
        <f>H390*I390/100</f>
      </c>
      <c r="AB390" s="13">
        <f>H390*J390/100</f>
      </c>
      <c r="AC390" s="15">
        <f>H390*K390</f>
      </c>
      <c r="AD390" s="15">
        <f>H390*M390</f>
      </c>
      <c r="AE390" s="13">
        <f>H390*L390/100</f>
      </c>
      <c r="AF390" s="13">
        <f>AA390+AB390+AE390</f>
      </c>
      <c r="AG390" s="13">
        <f>I390+J390+L390</f>
      </c>
      <c r="AH390" s="18">
        <f>$H390*I390</f>
      </c>
      <c r="AI390" s="18">
        <f>$H390*J390</f>
      </c>
      <c r="AJ390" s="18">
        <f>$H390*K390</f>
      </c>
      <c r="AK390" s="18">
        <f>$H390*L390</f>
      </c>
      <c r="AL390" s="18">
        <f>$H390*M390</f>
      </c>
      <c r="AM390" s="14"/>
      <c r="AN390" s="14"/>
      <c r="AO390" s="14"/>
    </row>
    <row x14ac:dyDescent="0.25" r="391" customHeight="1" ht="17.25">
      <c r="A391" s="2" t="s">
        <v>822</v>
      </c>
      <c r="B391" s="2" t="s">
        <v>429</v>
      </c>
      <c r="C391" s="2" t="s">
        <v>50</v>
      </c>
      <c r="D391" s="2"/>
      <c r="E391" s="2" t="s">
        <v>52</v>
      </c>
      <c r="F391" s="2" t="s">
        <v>460</v>
      </c>
      <c r="G391" s="2" t="s">
        <v>73</v>
      </c>
      <c r="H391" s="13">
        <f>6.762+0.204</f>
      </c>
      <c r="I391" s="13">
        <f>(1.1*6.762+0.76*0.204)/$H391</f>
      </c>
      <c r="J391" s="13">
        <f>(5.89*6.762+4.02*0.204)/$H391</f>
      </c>
      <c r="K391" s="17">
        <f>(85*6.762+62*0.204)/$H391</f>
      </c>
      <c r="L391" s="13">
        <f>(1.19*6.762+0.67*0.204)/$H391</f>
      </c>
      <c r="M391" s="13">
        <f>(2.4*6.762+1.18*0.204)/$H391</f>
      </c>
      <c r="N391" s="15"/>
      <c r="O391" s="16"/>
      <c r="P391" s="13"/>
      <c r="Q391" s="13"/>
      <c r="R391" s="17"/>
      <c r="S391" s="13"/>
      <c r="T391" s="17"/>
      <c r="U391" s="13"/>
      <c r="V391" s="16"/>
      <c r="W391" s="13"/>
      <c r="X391" s="13"/>
      <c r="Y391" s="14"/>
      <c r="Z391" s="2"/>
      <c r="AA391" s="13">
        <f>H391*I391/100</f>
      </c>
      <c r="AB391" s="13">
        <f>H391*J391/100</f>
      </c>
      <c r="AC391" s="15">
        <f>H391*K391</f>
      </c>
      <c r="AD391" s="15">
        <f>H391*M391</f>
      </c>
      <c r="AE391" s="13">
        <f>H391*L391/100</f>
      </c>
      <c r="AF391" s="13">
        <f>AA391+AB391+AE391</f>
      </c>
      <c r="AG391" s="13">
        <f>I391+J391+L391</f>
      </c>
      <c r="AH391" s="18">
        <f>$H391*I391</f>
      </c>
      <c r="AI391" s="18">
        <f>$H391*J391</f>
      </c>
      <c r="AJ391" s="18">
        <f>$H391*K391</f>
      </c>
      <c r="AK391" s="18">
        <f>$H391*L391</f>
      </c>
      <c r="AL391" s="18">
        <f>$H391*M391</f>
      </c>
      <c r="AM391" s="14"/>
      <c r="AN391" s="14"/>
      <c r="AO391" s="14"/>
    </row>
    <row x14ac:dyDescent="0.25" r="392" customHeight="1" ht="17.25">
      <c r="A392" s="2" t="s">
        <v>823</v>
      </c>
      <c r="B392" s="2" t="s">
        <v>429</v>
      </c>
      <c r="C392" s="2" t="s">
        <v>40</v>
      </c>
      <c r="D392" s="2" t="s">
        <v>41</v>
      </c>
      <c r="E392" s="12" t="s">
        <v>42</v>
      </c>
      <c r="F392" s="2" t="s">
        <v>43</v>
      </c>
      <c r="G392" s="2" t="s">
        <v>546</v>
      </c>
      <c r="H392" s="13">
        <v>1.30953</v>
      </c>
      <c r="I392" s="13">
        <v>0.59</v>
      </c>
      <c r="J392" s="13">
        <v>1.94</v>
      </c>
      <c r="K392" s="13">
        <v>13.5</v>
      </c>
      <c r="L392" s="13">
        <v>0.15</v>
      </c>
      <c r="M392" s="13"/>
      <c r="N392" s="13">
        <f>0.47*(137.327/(137.327+96.06))</f>
      </c>
      <c r="O392" s="16"/>
      <c r="P392" s="13"/>
      <c r="Q392" s="13"/>
      <c r="R392" s="17"/>
      <c r="S392" s="13"/>
      <c r="T392" s="17"/>
      <c r="U392" s="13"/>
      <c r="V392" s="16"/>
      <c r="W392" s="13"/>
      <c r="X392" s="13"/>
      <c r="Y392" s="13">
        <v>0.11</v>
      </c>
      <c r="Z392" s="2" t="s">
        <v>418</v>
      </c>
      <c r="AA392" s="13">
        <f>H392*I392/100</f>
      </c>
      <c r="AB392" s="13">
        <f>H392*J392/100</f>
      </c>
      <c r="AC392" s="15">
        <f>H392*K392</f>
      </c>
      <c r="AD392" s="15">
        <f>H392*M392</f>
      </c>
      <c r="AE392" s="13">
        <f>H392*L392/100</f>
      </c>
      <c r="AF392" s="13">
        <f>AA392+AB392+AE392</f>
      </c>
      <c r="AG392" s="13">
        <f>I392+J392+L392</f>
      </c>
      <c r="AH392" s="18">
        <f>$H392*I392</f>
      </c>
      <c r="AI392" s="18">
        <f>$H392*J392</f>
      </c>
      <c r="AJ392" s="18">
        <f>$H392*K392</f>
      </c>
      <c r="AK392" s="18">
        <f>$H392*L392</f>
      </c>
      <c r="AL392" s="18">
        <f>$H392*M392</f>
      </c>
      <c r="AM392" s="14"/>
      <c r="AN392" s="14"/>
      <c r="AO392" s="14"/>
    </row>
    <row x14ac:dyDescent="0.25" r="393" customHeight="1" ht="17.25">
      <c r="A393" s="2" t="s">
        <v>824</v>
      </c>
      <c r="B393" s="2" t="s">
        <v>429</v>
      </c>
      <c r="C393" s="2" t="s">
        <v>825</v>
      </c>
      <c r="D393" s="2" t="s">
        <v>826</v>
      </c>
      <c r="E393" s="12" t="s">
        <v>42</v>
      </c>
      <c r="F393" s="2" t="s">
        <v>569</v>
      </c>
      <c r="G393" s="2" t="s">
        <v>502</v>
      </c>
      <c r="H393" s="16">
        <v>0.019958</v>
      </c>
      <c r="I393" s="13">
        <v>26.7</v>
      </c>
      <c r="J393" s="13">
        <v>7.3</v>
      </c>
      <c r="K393" s="14">
        <v>1027.4</v>
      </c>
      <c r="L393" s="13"/>
      <c r="M393" s="13"/>
      <c r="N393" s="15"/>
      <c r="O393" s="16"/>
      <c r="P393" s="13"/>
      <c r="Q393" s="13"/>
      <c r="R393" s="17"/>
      <c r="S393" s="13"/>
      <c r="T393" s="17"/>
      <c r="U393" s="13"/>
      <c r="V393" s="16"/>
      <c r="W393" s="13"/>
      <c r="X393" s="13"/>
      <c r="Y393" s="14"/>
      <c r="Z393" s="2"/>
      <c r="AA393" s="13">
        <f>H393*I393/100</f>
      </c>
      <c r="AB393" s="13">
        <f>H393*J393/100</f>
      </c>
      <c r="AC393" s="15">
        <f>H393*K393</f>
      </c>
      <c r="AD393" s="15">
        <f>H393*M393</f>
      </c>
      <c r="AE393" s="13">
        <f>H393*L393/100</f>
      </c>
      <c r="AF393" s="13">
        <f>AA393+AB393+AE393</f>
      </c>
      <c r="AG393" s="13">
        <f>I393+J393+L393</f>
      </c>
      <c r="AH393" s="18">
        <f>$H393*I393</f>
      </c>
      <c r="AI393" s="18">
        <f>$H393*J393</f>
      </c>
      <c r="AJ393" s="18">
        <f>$H393*K393</f>
      </c>
      <c r="AK393" s="18">
        <f>$H393*L393</f>
      </c>
      <c r="AL393" s="18">
        <f>$H393*M393</f>
      </c>
      <c r="AM393" s="14"/>
      <c r="AN393" s="14"/>
      <c r="AO393" s="14"/>
    </row>
    <row x14ac:dyDescent="0.25" r="394" customHeight="1" ht="17.25">
      <c r="A394" s="2" t="s">
        <v>827</v>
      </c>
      <c r="B394" s="2" t="s">
        <v>429</v>
      </c>
      <c r="C394" s="2" t="s">
        <v>40</v>
      </c>
      <c r="D394" s="2" t="s">
        <v>64</v>
      </c>
      <c r="E394" s="12" t="s">
        <v>42</v>
      </c>
      <c r="F394" s="2" t="s">
        <v>43</v>
      </c>
      <c r="G394" s="2" t="s">
        <v>502</v>
      </c>
      <c r="H394" s="13">
        <v>7.1</v>
      </c>
      <c r="I394" s="13">
        <v>3.4</v>
      </c>
      <c r="J394" s="13">
        <v>4.3</v>
      </c>
      <c r="K394" s="14">
        <v>48</v>
      </c>
      <c r="L394" s="13"/>
      <c r="M394" s="13">
        <v>0.75</v>
      </c>
      <c r="N394" s="15"/>
      <c r="O394" s="16"/>
      <c r="P394" s="13"/>
      <c r="Q394" s="13"/>
      <c r="R394" s="17"/>
      <c r="S394" s="13"/>
      <c r="T394" s="17"/>
      <c r="U394" s="13"/>
      <c r="V394" s="16"/>
      <c r="W394" s="13"/>
      <c r="X394" s="13"/>
      <c r="Y394" s="14"/>
      <c r="Z394" s="2"/>
      <c r="AA394" s="13">
        <f>H394*I394/100</f>
      </c>
      <c r="AB394" s="13">
        <f>H394*J394/100</f>
      </c>
      <c r="AC394" s="15">
        <f>H394*K394</f>
      </c>
      <c r="AD394" s="15">
        <f>H394*M394</f>
      </c>
      <c r="AE394" s="13">
        <f>H394*L394/100</f>
      </c>
      <c r="AF394" s="13">
        <f>AA394+AB394+AE394</f>
      </c>
      <c r="AG394" s="13">
        <f>I394+J394+L394</f>
      </c>
      <c r="AH394" s="18">
        <f>$H394*I394</f>
      </c>
      <c r="AI394" s="18">
        <f>$H394*J394</f>
      </c>
      <c r="AJ394" s="18">
        <f>$H394*K394</f>
      </c>
      <c r="AK394" s="18">
        <f>$H394*L394</f>
      </c>
      <c r="AL394" s="18">
        <f>$H394*M394</f>
      </c>
      <c r="AM394" s="14"/>
      <c r="AN394" s="14"/>
      <c r="AO394" s="14"/>
    </row>
    <row x14ac:dyDescent="0.25" r="395" customHeight="1" ht="17.25">
      <c r="A395" s="2" t="s">
        <v>828</v>
      </c>
      <c r="B395" s="2" t="s">
        <v>429</v>
      </c>
      <c r="C395" s="2" t="s">
        <v>50</v>
      </c>
      <c r="D395" s="2"/>
      <c r="E395" s="2" t="s">
        <v>52</v>
      </c>
      <c r="F395" s="2" t="s">
        <v>436</v>
      </c>
      <c r="G395" s="2" t="s">
        <v>407</v>
      </c>
      <c r="H395" s="16">
        <f>0.559506+0.116048</f>
      </c>
      <c r="I395" s="13"/>
      <c r="J395" s="13">
        <f>(8.11*0.559506+4.55*0.116048)/$H395</f>
      </c>
      <c r="K395" s="15">
        <f>(62.18*0.559506+40.78*0.116048)/$H395</f>
      </c>
      <c r="L395" s="13">
        <f>(0.52*0.559506+0.49*0.116048)/$H395</f>
      </c>
      <c r="M395" s="13">
        <f>(1.18*0.559506+0.73*0.116048)/$H395</f>
      </c>
      <c r="N395" s="15"/>
      <c r="O395" s="16"/>
      <c r="P395" s="13"/>
      <c r="Q395" s="13"/>
      <c r="R395" s="17"/>
      <c r="S395" s="13"/>
      <c r="T395" s="17"/>
      <c r="U395" s="13"/>
      <c r="V395" s="16"/>
      <c r="W395" s="13"/>
      <c r="X395" s="13"/>
      <c r="Y395" s="14"/>
      <c r="Z395" s="2"/>
      <c r="AA395" s="13">
        <f>H395*I395/100</f>
      </c>
      <c r="AB395" s="13">
        <f>H395*J395/100</f>
      </c>
      <c r="AC395" s="15">
        <f>H395*K395</f>
      </c>
      <c r="AD395" s="15">
        <f>H395*M395</f>
      </c>
      <c r="AE395" s="13">
        <f>H395*L395/100</f>
      </c>
      <c r="AF395" s="13">
        <f>AA395+AB395+AE395</f>
      </c>
      <c r="AG395" s="13">
        <f>I395+J395+L395</f>
      </c>
      <c r="AH395" s="18">
        <f>$H395*I395</f>
      </c>
      <c r="AI395" s="18">
        <f>$H395*J395</f>
      </c>
      <c r="AJ395" s="18">
        <f>$H395*K395</f>
      </c>
      <c r="AK395" s="18">
        <f>$H395*L395</f>
      </c>
      <c r="AL395" s="18">
        <f>$H395*M395</f>
      </c>
      <c r="AM395" s="14"/>
      <c r="AN395" s="14"/>
      <c r="AO395" s="14"/>
    </row>
    <row x14ac:dyDescent="0.25" r="396" customHeight="1" ht="17.25">
      <c r="A396" s="2" t="s">
        <v>829</v>
      </c>
      <c r="B396" s="2" t="s">
        <v>429</v>
      </c>
      <c r="C396" s="2" t="s">
        <v>56</v>
      </c>
      <c r="D396" s="2"/>
      <c r="E396" s="12" t="s">
        <v>42</v>
      </c>
      <c r="F396" s="2" t="s">
        <v>569</v>
      </c>
      <c r="G396" s="2" t="s">
        <v>502</v>
      </c>
      <c r="H396" s="16">
        <v>0.352659</v>
      </c>
      <c r="I396" s="13">
        <v>3.18</v>
      </c>
      <c r="J396" s="13">
        <v>3.47</v>
      </c>
      <c r="K396" s="15">
        <v>606.16</v>
      </c>
      <c r="L396" s="13"/>
      <c r="M396" s="13"/>
      <c r="N396" s="15"/>
      <c r="O396" s="16"/>
      <c r="P396" s="13"/>
      <c r="Q396" s="13"/>
      <c r="R396" s="17"/>
      <c r="S396" s="13"/>
      <c r="T396" s="17"/>
      <c r="U396" s="13"/>
      <c r="V396" s="16"/>
      <c r="W396" s="13"/>
      <c r="X396" s="13"/>
      <c r="Y396" s="14"/>
      <c r="Z396" s="2"/>
      <c r="AA396" s="13">
        <f>H396*I396/100</f>
      </c>
      <c r="AB396" s="13">
        <f>H396*J396/100</f>
      </c>
      <c r="AC396" s="15">
        <f>H396*K396</f>
      </c>
      <c r="AD396" s="15">
        <f>H396*M396</f>
      </c>
      <c r="AE396" s="13">
        <f>H396*L396/100</f>
      </c>
      <c r="AF396" s="13">
        <f>AA396+AB396+AE396</f>
      </c>
      <c r="AG396" s="13">
        <f>I396+J396+L396</f>
      </c>
      <c r="AH396" s="18">
        <f>$H396*I396</f>
      </c>
      <c r="AI396" s="18">
        <f>$H396*J396</f>
      </c>
      <c r="AJ396" s="18">
        <f>$H396*K396</f>
      </c>
      <c r="AK396" s="18">
        <f>$H396*L396</f>
      </c>
      <c r="AL396" s="18">
        <f>$H396*M396</f>
      </c>
      <c r="AM396" s="14"/>
      <c r="AN396" s="14"/>
      <c r="AO396" s="14"/>
    </row>
    <row x14ac:dyDescent="0.25" r="397" customHeight="1" ht="17.25">
      <c r="A397" s="2" t="s">
        <v>830</v>
      </c>
      <c r="B397" s="2" t="s">
        <v>429</v>
      </c>
      <c r="C397" s="2" t="s">
        <v>40</v>
      </c>
      <c r="D397" s="2" t="s">
        <v>64</v>
      </c>
      <c r="E397" s="2" t="s">
        <v>52</v>
      </c>
      <c r="F397" s="2" t="s">
        <v>65</v>
      </c>
      <c r="G397" s="2" t="s">
        <v>66</v>
      </c>
      <c r="H397" s="13">
        <f>2.8+0.4</f>
      </c>
      <c r="I397" s="13">
        <f>(1.16*2.8+1.3*0.4)/$H397</f>
      </c>
      <c r="J397" s="13">
        <f>(4.22*2.8+5.3*0.4)/$H397</f>
      </c>
      <c r="K397" s="15">
        <f>(52.6*2.8+56*0.4)/$H397</f>
      </c>
      <c r="L397" s="13">
        <f>(1.34*2.8+1.1*0.4)/$H397</f>
      </c>
      <c r="M397" s="13">
        <f>(0.91*2.8+1.1*0.4)/$H397</f>
      </c>
      <c r="N397" s="15"/>
      <c r="O397" s="16"/>
      <c r="P397" s="13"/>
      <c r="Q397" s="13"/>
      <c r="R397" s="17"/>
      <c r="S397" s="13"/>
      <c r="T397" s="17"/>
      <c r="U397" s="13"/>
      <c r="V397" s="16"/>
      <c r="W397" s="13"/>
      <c r="X397" s="13"/>
      <c r="Y397" s="14"/>
      <c r="Z397" s="2"/>
      <c r="AA397" s="13">
        <f>H397*I397/100</f>
      </c>
      <c r="AB397" s="13">
        <f>H397*J397/100</f>
      </c>
      <c r="AC397" s="15">
        <f>H397*K397</f>
      </c>
      <c r="AD397" s="15">
        <f>H397*M397</f>
      </c>
      <c r="AE397" s="13">
        <f>H397*L397/100</f>
      </c>
      <c r="AF397" s="13">
        <f>AA397+AB397+AE397</f>
      </c>
      <c r="AG397" s="13">
        <f>I397+J397+L397</f>
      </c>
      <c r="AH397" s="18">
        <f>$H397*I397</f>
      </c>
      <c r="AI397" s="18">
        <f>$H397*J397</f>
      </c>
      <c r="AJ397" s="18">
        <f>$H397*K397</f>
      </c>
      <c r="AK397" s="18">
        <f>$H397*L397</f>
      </c>
      <c r="AL397" s="18">
        <f>$H397*M397</f>
      </c>
      <c r="AM397" s="14"/>
      <c r="AN397" s="14"/>
      <c r="AO397" s="14"/>
    </row>
    <row x14ac:dyDescent="0.25" r="398" customHeight="1" ht="17.25">
      <c r="A398" s="2" t="s">
        <v>831</v>
      </c>
      <c r="B398" s="2" t="s">
        <v>429</v>
      </c>
      <c r="C398" s="2" t="s">
        <v>56</v>
      </c>
      <c r="D398" s="2"/>
      <c r="E398" s="12" t="s">
        <v>42</v>
      </c>
      <c r="F398" s="2" t="s">
        <v>832</v>
      </c>
      <c r="G398" s="2" t="s">
        <v>617</v>
      </c>
      <c r="H398" s="13">
        <v>1.3</v>
      </c>
      <c r="I398" s="13">
        <v>3.12</v>
      </c>
      <c r="J398" s="13">
        <v>3.12</v>
      </c>
      <c r="K398" s="13">
        <v>36.3</v>
      </c>
      <c r="L398" s="13">
        <v>0.11</v>
      </c>
      <c r="M398" s="13">
        <v>2.2</v>
      </c>
      <c r="N398" s="15"/>
      <c r="O398" s="16"/>
      <c r="P398" s="13"/>
      <c r="Q398" s="13"/>
      <c r="R398" s="17"/>
      <c r="S398" s="13"/>
      <c r="T398" s="17"/>
      <c r="U398" s="13"/>
      <c r="V398" s="16"/>
      <c r="W398" s="13"/>
      <c r="X398" s="13"/>
      <c r="Y398" s="14"/>
      <c r="Z398" s="2"/>
      <c r="AA398" s="13">
        <f>H398*I398/100</f>
      </c>
      <c r="AB398" s="13">
        <f>H398*J398/100</f>
      </c>
      <c r="AC398" s="15">
        <f>H398*K398</f>
      </c>
      <c r="AD398" s="15">
        <f>H398*M398</f>
      </c>
      <c r="AE398" s="13">
        <f>H398*L398/100</f>
      </c>
      <c r="AF398" s="13">
        <f>AA398+AB398+AE398</f>
      </c>
      <c r="AG398" s="13">
        <f>I398+J398+L398</f>
      </c>
      <c r="AH398" s="18">
        <f>$H398*I398</f>
      </c>
      <c r="AI398" s="18">
        <f>$H398*J398</f>
      </c>
      <c r="AJ398" s="18">
        <f>$H398*K398</f>
      </c>
      <c r="AK398" s="18">
        <f>$H398*L398</f>
      </c>
      <c r="AL398" s="18">
        <f>$H398*M398</f>
      </c>
      <c r="AM398" s="14"/>
      <c r="AN398" s="14"/>
      <c r="AO398" s="14"/>
    </row>
    <row x14ac:dyDescent="0.25" r="399" customHeight="1" ht="17.25">
      <c r="A399" s="2" t="s">
        <v>833</v>
      </c>
      <c r="B399" s="2" t="s">
        <v>429</v>
      </c>
      <c r="C399" s="2" t="s">
        <v>56</v>
      </c>
      <c r="D399" s="2"/>
      <c r="E399" s="12" t="s">
        <v>42</v>
      </c>
      <c r="F399" s="2" t="s">
        <v>43</v>
      </c>
      <c r="G399" s="2" t="s">
        <v>440</v>
      </c>
      <c r="H399" s="13">
        <v>0.02</v>
      </c>
      <c r="I399" s="13">
        <v>4.4</v>
      </c>
      <c r="J399" s="13">
        <v>2.2</v>
      </c>
      <c r="K399" s="14">
        <v>2948.4</v>
      </c>
      <c r="L399" s="13"/>
      <c r="M399" s="13">
        <v>1.19</v>
      </c>
      <c r="N399" s="15"/>
      <c r="O399" s="16"/>
      <c r="P399" s="13"/>
      <c r="Q399" s="13"/>
      <c r="R399" s="17"/>
      <c r="S399" s="13"/>
      <c r="T399" s="17"/>
      <c r="U399" s="13"/>
      <c r="V399" s="16"/>
      <c r="W399" s="13"/>
      <c r="X399" s="13"/>
      <c r="Y399" s="14"/>
      <c r="Z399" s="2"/>
      <c r="AA399" s="13">
        <f>H399*I399/100</f>
      </c>
      <c r="AB399" s="13">
        <f>H399*J399/100</f>
      </c>
      <c r="AC399" s="15">
        <f>H399*K399</f>
      </c>
      <c r="AD399" s="15">
        <f>H399*M399</f>
      </c>
      <c r="AE399" s="13">
        <f>H399*L399/100</f>
      </c>
      <c r="AF399" s="13">
        <f>AA399+AB399+AE399</f>
      </c>
      <c r="AG399" s="13">
        <f>I399+J399+L399</f>
      </c>
      <c r="AH399" s="18">
        <f>$H399*I399</f>
      </c>
      <c r="AI399" s="18">
        <f>$H399*J399</f>
      </c>
      <c r="AJ399" s="18">
        <f>$H399*K399</f>
      </c>
      <c r="AK399" s="18">
        <f>$H399*L399</f>
      </c>
      <c r="AL399" s="18">
        <f>$H399*M399</f>
      </c>
      <c r="AM399" s="14"/>
      <c r="AN399" s="14"/>
      <c r="AO399" s="14"/>
    </row>
    <row x14ac:dyDescent="0.25" r="400" customHeight="1" ht="17.25">
      <c r="A400" s="2" t="s">
        <v>834</v>
      </c>
      <c r="B400" s="2" t="s">
        <v>429</v>
      </c>
      <c r="C400" s="2" t="s">
        <v>40</v>
      </c>
      <c r="D400" s="2" t="s">
        <v>64</v>
      </c>
      <c r="E400" s="12" t="s">
        <v>42</v>
      </c>
      <c r="F400" s="2" t="s">
        <v>43</v>
      </c>
      <c r="G400" s="2" t="s">
        <v>835</v>
      </c>
      <c r="H400" s="16">
        <v>0.5</v>
      </c>
      <c r="I400" s="13">
        <v>2.7</v>
      </c>
      <c r="J400" s="13">
        <v>3.5</v>
      </c>
      <c r="K400" s="14"/>
      <c r="L400" s="13"/>
      <c r="M400" s="13"/>
      <c r="N400" s="15"/>
      <c r="O400" s="16"/>
      <c r="P400" s="13"/>
      <c r="Q400" s="13"/>
      <c r="R400" s="17"/>
      <c r="S400" s="13"/>
      <c r="T400" s="17"/>
      <c r="U400" s="13"/>
      <c r="V400" s="16"/>
      <c r="W400" s="13"/>
      <c r="X400" s="13"/>
      <c r="Y400" s="14"/>
      <c r="Z400" s="2"/>
      <c r="AA400" s="13">
        <f>H400*I400/100</f>
      </c>
      <c r="AB400" s="13">
        <f>H400*J400/100</f>
      </c>
      <c r="AC400" s="15">
        <f>H400*K400</f>
      </c>
      <c r="AD400" s="15">
        <f>H400*M400</f>
      </c>
      <c r="AE400" s="13">
        <f>H400*L400/100</f>
      </c>
      <c r="AF400" s="13">
        <f>AA400+AB400+AE400</f>
      </c>
      <c r="AG400" s="13">
        <f>I400+J400+L400</f>
      </c>
      <c r="AH400" s="18">
        <f>$H400*I400</f>
      </c>
      <c r="AI400" s="18">
        <f>$H400*J400</f>
      </c>
      <c r="AJ400" s="18">
        <f>$H400*K400</f>
      </c>
      <c r="AK400" s="18">
        <f>$H400*L400</f>
      </c>
      <c r="AL400" s="18">
        <f>$H400*M400</f>
      </c>
      <c r="AM400" s="14"/>
      <c r="AN400" s="14"/>
      <c r="AO400" s="14"/>
    </row>
    <row x14ac:dyDescent="0.25" r="401" customHeight="1" ht="17.25">
      <c r="A401" s="2" t="s">
        <v>836</v>
      </c>
      <c r="B401" s="2" t="s">
        <v>429</v>
      </c>
      <c r="C401" s="2" t="s">
        <v>50</v>
      </c>
      <c r="D401" s="2"/>
      <c r="E401" s="12" t="s">
        <v>42</v>
      </c>
      <c r="F401" s="2" t="s">
        <v>837</v>
      </c>
      <c r="G401" s="2" t="s">
        <v>617</v>
      </c>
      <c r="H401" s="13">
        <f>0.53+0.6</f>
      </c>
      <c r="I401" s="13"/>
      <c r="J401" s="15">
        <f>(0.4*0.53+0.2*0.6)/$H401</f>
      </c>
      <c r="K401" s="15">
        <f>(9.2*0.53+30*0.6)/$H401</f>
      </c>
      <c r="L401" s="15">
        <f>(3.4*0.53+3.3*0.6)/$H401</f>
      </c>
      <c r="M401" s="15">
        <f>(1.4*0.53+0.3*0.6)/$H401</f>
      </c>
      <c r="N401" s="15"/>
      <c r="O401" s="16"/>
      <c r="P401" s="13"/>
      <c r="Q401" s="13"/>
      <c r="R401" s="17"/>
      <c r="S401" s="13"/>
      <c r="T401" s="17"/>
      <c r="U401" s="13"/>
      <c r="V401" s="16"/>
      <c r="W401" s="13"/>
      <c r="X401" s="13"/>
      <c r="Y401" s="14"/>
      <c r="Z401" s="2"/>
      <c r="AA401" s="13">
        <f>H401*I401/100</f>
      </c>
      <c r="AB401" s="13">
        <f>H401*J401/100</f>
      </c>
      <c r="AC401" s="15">
        <f>H401*K401</f>
      </c>
      <c r="AD401" s="15">
        <f>H401*M401</f>
      </c>
      <c r="AE401" s="13">
        <f>H401*L401/100</f>
      </c>
      <c r="AF401" s="13">
        <f>AA401+AB401+AE401</f>
      </c>
      <c r="AG401" s="13">
        <f>I401+J401+L401</f>
      </c>
      <c r="AH401" s="18">
        <f>$H401*I401</f>
      </c>
      <c r="AI401" s="18">
        <f>$H401*J401</f>
      </c>
      <c r="AJ401" s="18">
        <f>$H401*K401</f>
      </c>
      <c r="AK401" s="18">
        <f>$H401*L401</f>
      </c>
      <c r="AL401" s="18">
        <f>$H401*M401</f>
      </c>
      <c r="AM401" s="14"/>
      <c r="AN401" s="14"/>
      <c r="AO401" s="14"/>
    </row>
    <row x14ac:dyDescent="0.25" r="402" customHeight="1" ht="17.25">
      <c r="A402" s="2" t="s">
        <v>838</v>
      </c>
      <c r="B402" s="2" t="s">
        <v>429</v>
      </c>
      <c r="C402" s="2" t="s">
        <v>50</v>
      </c>
      <c r="D402" s="2"/>
      <c r="E402" s="2" t="s">
        <v>52</v>
      </c>
      <c r="F402" s="2" t="s">
        <v>604</v>
      </c>
      <c r="G402" s="2" t="s">
        <v>605</v>
      </c>
      <c r="H402" s="13">
        <f>2.777+0.446</f>
      </c>
      <c r="I402" s="13"/>
      <c r="J402" s="13">
        <f>(0.3*2.777+0.43*0.446)/$H402</f>
      </c>
      <c r="K402" s="13">
        <f>(7.53*2.777+5.06*0.446)/$H402</f>
      </c>
      <c r="L402" s="13">
        <f>(1.94*2.777+1.12*0.446)/$H402</f>
      </c>
      <c r="M402" s="13">
        <f>(1.88*2.777+2.11*0.446)/$H402</f>
      </c>
      <c r="N402" s="15"/>
      <c r="O402" s="16"/>
      <c r="P402" s="13"/>
      <c r="Q402" s="13"/>
      <c r="R402" s="17"/>
      <c r="S402" s="13"/>
      <c r="T402" s="17"/>
      <c r="U402" s="13"/>
      <c r="V402" s="16"/>
      <c r="W402" s="13"/>
      <c r="X402" s="13"/>
      <c r="Y402" s="14"/>
      <c r="Z402" s="2"/>
      <c r="AA402" s="13">
        <f>H402*I402/100</f>
      </c>
      <c r="AB402" s="13">
        <f>H402*J402/100</f>
      </c>
      <c r="AC402" s="15">
        <f>H402*K402</f>
      </c>
      <c r="AD402" s="15">
        <f>H402*M402</f>
      </c>
      <c r="AE402" s="13">
        <f>H402*L402/100</f>
      </c>
      <c r="AF402" s="13">
        <f>AA402+AB402+AE402</f>
      </c>
      <c r="AG402" s="13">
        <f>I402+J402+L402</f>
      </c>
      <c r="AH402" s="18">
        <f>$H402*I402</f>
      </c>
      <c r="AI402" s="18">
        <f>$H402*J402</f>
      </c>
      <c r="AJ402" s="18">
        <f>$H402*K402</f>
      </c>
      <c r="AK402" s="18">
        <f>$H402*L402</f>
      </c>
      <c r="AL402" s="18">
        <f>$H402*M402</f>
      </c>
      <c r="AM402" s="14"/>
      <c r="AN402" s="14"/>
      <c r="AO402" s="14"/>
    </row>
    <row x14ac:dyDescent="0.25" r="403" customHeight="1" ht="17.25">
      <c r="A403" s="2" t="s">
        <v>839</v>
      </c>
      <c r="B403" s="2" t="s">
        <v>429</v>
      </c>
      <c r="C403" s="2" t="s">
        <v>50</v>
      </c>
      <c r="D403" s="2"/>
      <c r="E403" s="12" t="s">
        <v>42</v>
      </c>
      <c r="F403" s="2" t="s">
        <v>542</v>
      </c>
      <c r="G403" s="2" t="s">
        <v>502</v>
      </c>
      <c r="H403" s="13">
        <v>4.1</v>
      </c>
      <c r="I403" s="13">
        <v>1.8</v>
      </c>
      <c r="J403" s="13">
        <v>6.2</v>
      </c>
      <c r="K403" s="14">
        <v>84</v>
      </c>
      <c r="L403" s="13"/>
      <c r="M403" s="13"/>
      <c r="N403" s="15"/>
      <c r="O403" s="16"/>
      <c r="P403" s="13"/>
      <c r="Q403" s="13"/>
      <c r="R403" s="17"/>
      <c r="S403" s="13"/>
      <c r="T403" s="17"/>
      <c r="U403" s="13"/>
      <c r="V403" s="16"/>
      <c r="W403" s="13"/>
      <c r="X403" s="13"/>
      <c r="Y403" s="14"/>
      <c r="Z403" s="2"/>
      <c r="AA403" s="13">
        <f>H403*I403/100</f>
      </c>
      <c r="AB403" s="13">
        <f>H403*J403/100</f>
      </c>
      <c r="AC403" s="15">
        <f>H403*K403</f>
      </c>
      <c r="AD403" s="15">
        <f>H403*M403</f>
      </c>
      <c r="AE403" s="13">
        <f>H403*L403/100</f>
      </c>
      <c r="AF403" s="13">
        <f>AA403+AB403+AE403</f>
      </c>
      <c r="AG403" s="13">
        <f>I403+J403+L403</f>
      </c>
      <c r="AH403" s="18">
        <f>$H403*I403</f>
      </c>
      <c r="AI403" s="18">
        <f>$H403*J403</f>
      </c>
      <c r="AJ403" s="18">
        <f>$H403*K403</f>
      </c>
      <c r="AK403" s="18">
        <f>$H403*L403</f>
      </c>
      <c r="AL403" s="18">
        <f>$H403*M403</f>
      </c>
      <c r="AM403" s="14"/>
      <c r="AN403" s="14"/>
      <c r="AO403" s="14"/>
    </row>
    <row x14ac:dyDescent="0.25" r="404" customHeight="1" ht="17.25">
      <c r="A404" s="2" t="s">
        <v>840</v>
      </c>
      <c r="B404" s="2" t="s">
        <v>429</v>
      </c>
      <c r="C404" s="2" t="s">
        <v>50</v>
      </c>
      <c r="D404" s="2"/>
      <c r="E404" s="2" t="s">
        <v>52</v>
      </c>
      <c r="F404" s="2" t="s">
        <v>671</v>
      </c>
      <c r="G404" s="2" t="s">
        <v>841</v>
      </c>
      <c r="H404" s="13">
        <f>0.493+3.968+1.693</f>
      </c>
      <c r="I404" s="13">
        <f>(1.48*0.493+1.58*3.968+1.74*1.693)/$H404</f>
      </c>
      <c r="J404" s="13">
        <f>(12.44*0.493+12.1*3.968+12.16*1.693)/$H404</f>
      </c>
      <c r="K404" s="15">
        <f>(298.8*0.493+361.8*3.968+385.4*1.693)/$H404</f>
      </c>
      <c r="L404" s="13">
        <f>(1.18*0.493+1.16*3.968+1.23*1.693)/$H404</f>
      </c>
      <c r="M404" s="13">
        <f>(1.5*0.493+1.72*3.968+1.71*1.693)/$H404</f>
      </c>
      <c r="N404" s="15"/>
      <c r="O404" s="16"/>
      <c r="P404" s="13"/>
      <c r="Q404" s="13"/>
      <c r="R404" s="17"/>
      <c r="S404" s="13"/>
      <c r="T404" s="17"/>
      <c r="U404" s="13"/>
      <c r="V404" s="16"/>
      <c r="W404" s="13"/>
      <c r="X404" s="13"/>
      <c r="Y404" s="14"/>
      <c r="Z404" s="2"/>
      <c r="AA404" s="13">
        <f>H404*I404/100</f>
      </c>
      <c r="AB404" s="13">
        <f>H404*J404/100</f>
      </c>
      <c r="AC404" s="15">
        <f>H404*K404</f>
      </c>
      <c r="AD404" s="15">
        <f>H404*M404</f>
      </c>
      <c r="AE404" s="13">
        <f>H404*L404/100</f>
      </c>
      <c r="AF404" s="13">
        <f>AA404+AB404+AE404</f>
      </c>
      <c r="AG404" s="13">
        <f>I404+J404+L404</f>
      </c>
      <c r="AH404" s="18">
        <f>$H404*I404</f>
      </c>
      <c r="AI404" s="18">
        <f>$H404*J404</f>
      </c>
      <c r="AJ404" s="18">
        <f>$H404*K404</f>
      </c>
      <c r="AK404" s="18">
        <f>$H404*L404</f>
      </c>
      <c r="AL404" s="18">
        <f>$H404*M404</f>
      </c>
      <c r="AM404" s="14"/>
      <c r="AN404" s="14"/>
      <c r="AO404" s="14"/>
    </row>
    <row x14ac:dyDescent="0.25" r="405" customHeight="1" ht="17.25">
      <c r="A405" s="2" t="s">
        <v>842</v>
      </c>
      <c r="B405" s="2" t="s">
        <v>429</v>
      </c>
      <c r="C405" s="2" t="s">
        <v>40</v>
      </c>
      <c r="D405" s="2" t="s">
        <v>41</v>
      </c>
      <c r="E405" s="2" t="s">
        <v>52</v>
      </c>
      <c r="F405" s="2" t="s">
        <v>843</v>
      </c>
      <c r="G405" s="2" t="s">
        <v>733</v>
      </c>
      <c r="H405" s="13">
        <f>0.495+0.667+0.394+2.442+4.408+2.208+0.21</f>
      </c>
      <c r="I405" s="13">
        <f>(1.24*0.495+1.26*0.667+1.2*0.394+1.32*2.442+1.14*4.408+1.07*2.208+0.36*0.21)/$H405</f>
      </c>
      <c r="J405" s="13">
        <f>(7.47*0.495+3.22*0.667+3.43*0.394+7.2*2.442+3.01*4.408+2.76*2.208+3.72*0.21)/$H405</f>
      </c>
      <c r="K405" s="15">
        <f>(8.2*0.495+9.81*0.667+4.63*0.394+8.07*2.442+9.04*4.408+4.16*2.208+2.89*0.21)/$H405</f>
      </c>
      <c r="L405" s="13"/>
      <c r="M405" s="13"/>
      <c r="N405" s="15"/>
      <c r="O405" s="16"/>
      <c r="P405" s="13"/>
      <c r="Q405" s="13"/>
      <c r="R405" s="17"/>
      <c r="S405" s="13"/>
      <c r="T405" s="17"/>
      <c r="U405" s="13"/>
      <c r="V405" s="16"/>
      <c r="W405" s="13"/>
      <c r="X405" s="13"/>
      <c r="Y405" s="14"/>
      <c r="Z405" s="2"/>
      <c r="AA405" s="13">
        <f>H405*I405/100</f>
      </c>
      <c r="AB405" s="13">
        <f>H405*J405/100</f>
      </c>
      <c r="AC405" s="15">
        <f>H405*K405</f>
      </c>
      <c r="AD405" s="15">
        <f>H405*M405</f>
      </c>
      <c r="AE405" s="13">
        <f>H405*L405/100</f>
      </c>
      <c r="AF405" s="13">
        <f>AA405+AB405+AE405</f>
      </c>
      <c r="AG405" s="13">
        <f>I405+J405+L405</f>
      </c>
      <c r="AH405" s="18">
        <f>$H405*I405</f>
      </c>
      <c r="AI405" s="18">
        <f>$H405*J405</f>
      </c>
      <c r="AJ405" s="18">
        <f>$H405*K405</f>
      </c>
      <c r="AK405" s="18">
        <f>$H405*L405</f>
      </c>
      <c r="AL405" s="18">
        <f>$H405*M405</f>
      </c>
      <c r="AM405" s="14"/>
      <c r="AN405" s="14"/>
      <c r="AO405" s="14"/>
    </row>
    <row x14ac:dyDescent="0.25" r="406" customHeight="1" ht="17.25">
      <c r="A406" s="2" t="s">
        <v>844</v>
      </c>
      <c r="B406" s="2" t="s">
        <v>429</v>
      </c>
      <c r="C406" s="2" t="s">
        <v>620</v>
      </c>
      <c r="D406" s="2"/>
      <c r="E406" s="12" t="s">
        <v>42</v>
      </c>
      <c r="F406" s="2" t="s">
        <v>845</v>
      </c>
      <c r="G406" s="2" t="s">
        <v>737</v>
      </c>
      <c r="H406" s="13">
        <v>1.3</v>
      </c>
      <c r="I406" s="13">
        <v>1.6</v>
      </c>
      <c r="J406" s="13">
        <v>4.96</v>
      </c>
      <c r="K406" s="17">
        <f>3.42*31.1/0.9072</f>
      </c>
      <c r="L406" s="13">
        <v>1.03</v>
      </c>
      <c r="M406" s="13">
        <f>0.008*31.1/0.9072</f>
      </c>
      <c r="N406" s="15"/>
      <c r="O406" s="16"/>
      <c r="P406" s="13"/>
      <c r="Q406" s="13"/>
      <c r="R406" s="17"/>
      <c r="S406" s="13"/>
      <c r="T406" s="17"/>
      <c r="U406" s="13"/>
      <c r="V406" s="16"/>
      <c r="W406" s="13"/>
      <c r="X406" s="13"/>
      <c r="Y406" s="14"/>
      <c r="Z406" s="2"/>
      <c r="AA406" s="13">
        <f>H406*I406/100</f>
      </c>
      <c r="AB406" s="13">
        <f>H406*J406/100</f>
      </c>
      <c r="AC406" s="15">
        <f>H406*K406</f>
      </c>
      <c r="AD406" s="15">
        <f>H406*M406</f>
      </c>
      <c r="AE406" s="13">
        <f>H406*L406/100</f>
      </c>
      <c r="AF406" s="13">
        <f>AA406+AB406+AE406</f>
      </c>
      <c r="AG406" s="13">
        <f>I406+J406+L406</f>
      </c>
      <c r="AH406" s="18">
        <f>$H406*I406</f>
      </c>
      <c r="AI406" s="18">
        <f>$H406*J406</f>
      </c>
      <c r="AJ406" s="18">
        <f>$H406*K406</f>
      </c>
      <c r="AK406" s="18">
        <f>$H406*L406</f>
      </c>
      <c r="AL406" s="18">
        <f>$H406*M406</f>
      </c>
      <c r="AM406" s="14"/>
      <c r="AN406" s="14"/>
      <c r="AO406" s="14"/>
    </row>
    <row x14ac:dyDescent="0.25" r="407" customHeight="1" ht="17.25">
      <c r="A407" s="2" t="s">
        <v>846</v>
      </c>
      <c r="B407" s="2" t="s">
        <v>847</v>
      </c>
      <c r="C407" s="2" t="s">
        <v>56</v>
      </c>
      <c r="D407" s="2" t="s">
        <v>75</v>
      </c>
      <c r="E407" s="2" t="s">
        <v>52</v>
      </c>
      <c r="F407" s="2" t="s">
        <v>848</v>
      </c>
      <c r="G407" s="2" t="s">
        <v>849</v>
      </c>
      <c r="H407" s="13">
        <f>5.5+0.15+0.45+0.37</f>
      </c>
      <c r="I407" s="13"/>
      <c r="J407" s="13">
        <f>(0.21*5.5+0.51*0.15+0.13*0.45+0.34*0.37)/$H407</f>
      </c>
      <c r="K407" s="17">
        <f>(99*5.5+188*0.15+61*0.45+180*0.37)/$H407</f>
      </c>
      <c r="L407" s="13"/>
      <c r="M407" s="13">
        <f>(0.13*5.5+0.21*0.15+0.07*0.45+0.19*0.37)/$H407</f>
      </c>
      <c r="N407" s="15"/>
      <c r="O407" s="16"/>
      <c r="P407" s="13"/>
      <c r="Q407" s="13"/>
      <c r="R407" s="17"/>
      <c r="S407" s="13"/>
      <c r="T407" s="17"/>
      <c r="U407" s="13"/>
      <c r="V407" s="16"/>
      <c r="W407" s="13"/>
      <c r="X407" s="13"/>
      <c r="Y407" s="14"/>
      <c r="Z407" s="2"/>
      <c r="AA407" s="13">
        <f>H407*I407/100</f>
      </c>
      <c r="AB407" s="13">
        <f>H407*J407/100</f>
      </c>
      <c r="AC407" s="15">
        <f>H407*K407</f>
      </c>
      <c r="AD407" s="15">
        <f>H407*M407</f>
      </c>
      <c r="AE407" s="13">
        <f>H407*L407/100</f>
      </c>
      <c r="AF407" s="13">
        <f>AA407+AB407+AE407</f>
      </c>
      <c r="AG407" s="13">
        <f>I407+J407+L407</f>
      </c>
      <c r="AH407" s="18">
        <f>$H407*I407</f>
      </c>
      <c r="AI407" s="18">
        <f>$H407*J407</f>
      </c>
      <c r="AJ407" s="18">
        <f>$H407*K407</f>
      </c>
      <c r="AK407" s="18">
        <f>$H407*L407</f>
      </c>
      <c r="AL407" s="18">
        <f>$H407*M407</f>
      </c>
      <c r="AM407" s="14"/>
      <c r="AN407" s="14"/>
      <c r="AO407" s="14"/>
    </row>
    <row x14ac:dyDescent="0.25" r="408" customHeight="1" ht="17.25">
      <c r="A408" s="2" t="s">
        <v>850</v>
      </c>
      <c r="B408" s="2" t="s">
        <v>847</v>
      </c>
      <c r="C408" s="2" t="s">
        <v>851</v>
      </c>
      <c r="D408" s="2" t="s">
        <v>852</v>
      </c>
      <c r="E408" s="2" t="s">
        <v>52</v>
      </c>
      <c r="F408" s="2" t="s">
        <v>659</v>
      </c>
      <c r="G408" s="2" t="s">
        <v>66</v>
      </c>
      <c r="H408" s="13">
        <f>1.99+5.52+3.69</f>
      </c>
      <c r="I408" s="13">
        <f>(0.28*1.99+0.38*5.52+0.41*3.69)/$H408</f>
      </c>
      <c r="J408" s="13">
        <f>(6.64*1.99+5.51*5.52+4.26*3.69)/$H408</f>
      </c>
      <c r="K408" s="15">
        <f>(12.32*1.99+11.62*5.52+17.38*3.69)/$H408</f>
      </c>
      <c r="L408" s="13"/>
      <c r="M408" s="13">
        <f>(2.45*1.99+0.98*5.52+0.74*3.69)/$H408</f>
      </c>
      <c r="N408" s="15"/>
      <c r="O408" s="16"/>
      <c r="P408" s="13"/>
      <c r="Q408" s="13"/>
      <c r="R408" s="17"/>
      <c r="S408" s="13"/>
      <c r="T408" s="17"/>
      <c r="U408" s="13"/>
      <c r="V408" s="16"/>
      <c r="W408" s="13"/>
      <c r="X408" s="13"/>
      <c r="Y408" s="14"/>
      <c r="Z408" s="2"/>
      <c r="AA408" s="13">
        <f>H408*I408/100</f>
      </c>
      <c r="AB408" s="13">
        <f>H408*J408/100</f>
      </c>
      <c r="AC408" s="15">
        <f>H408*K408</f>
      </c>
      <c r="AD408" s="15">
        <f>H408*M408</f>
      </c>
      <c r="AE408" s="13">
        <f>H408*L408/100</f>
      </c>
      <c r="AF408" s="13">
        <f>AA408+AB408+AE408</f>
      </c>
      <c r="AG408" s="13">
        <f>I408+J408+L408</f>
      </c>
      <c r="AH408" s="18">
        <f>$H408*I408</f>
      </c>
      <c r="AI408" s="18">
        <f>$H408*J408</f>
      </c>
      <c r="AJ408" s="18">
        <f>$H408*K408</f>
      </c>
      <c r="AK408" s="18">
        <f>$H408*L408</f>
      </c>
      <c r="AL408" s="18">
        <f>$H408*M408</f>
      </c>
      <c r="AM408" s="14"/>
      <c r="AN408" s="14"/>
      <c r="AO408" s="14"/>
    </row>
    <row x14ac:dyDescent="0.25" r="409" customHeight="1" ht="17.25">
      <c r="A409" s="2" t="s">
        <v>853</v>
      </c>
      <c r="B409" s="2" t="s">
        <v>847</v>
      </c>
      <c r="C409" s="2" t="s">
        <v>56</v>
      </c>
      <c r="D409" s="2" t="s">
        <v>79</v>
      </c>
      <c r="E409" s="2" t="s">
        <v>52</v>
      </c>
      <c r="F409" s="2" t="s">
        <v>854</v>
      </c>
      <c r="G409" s="2" t="s">
        <v>108</v>
      </c>
      <c r="H409" s="13">
        <f>1.905+2.48+5.008</f>
      </c>
      <c r="I409" s="13"/>
      <c r="J409" s="13">
        <f>(1.63*1.905+1.74*2.48+1.62*5.008)/$H409</f>
      </c>
      <c r="K409" s="15">
        <f>(38.6*1.905+26.2*2.48+37.4*5.008)/$H409</f>
      </c>
      <c r="L409" s="13"/>
      <c r="M409" s="13">
        <f>(5.97*1.905+4.92*2.48+5.63*5.008)/$H409</f>
      </c>
      <c r="N409" s="15"/>
      <c r="O409" s="16"/>
      <c r="P409" s="13"/>
      <c r="Q409" s="13"/>
      <c r="R409" s="17"/>
      <c r="S409" s="13"/>
      <c r="T409" s="17"/>
      <c r="U409" s="13"/>
      <c r="V409" s="16"/>
      <c r="W409" s="13"/>
      <c r="X409" s="13"/>
      <c r="Y409" s="14"/>
      <c r="Z409" s="2"/>
      <c r="AA409" s="13">
        <f>H409*I409/100</f>
      </c>
      <c r="AB409" s="13">
        <f>H409*J409/100</f>
      </c>
      <c r="AC409" s="15">
        <f>H409*K409</f>
      </c>
      <c r="AD409" s="15">
        <f>H409*M409</f>
      </c>
      <c r="AE409" s="13">
        <f>H409*L409/100</f>
      </c>
      <c r="AF409" s="13">
        <f>AA409+AB409+AE409</f>
      </c>
      <c r="AG409" s="13">
        <f>I409+J409+L409</f>
      </c>
      <c r="AH409" s="18">
        <f>$H409*I409</f>
      </c>
      <c r="AI409" s="18">
        <f>$H409*J409</f>
      </c>
      <c r="AJ409" s="18">
        <f>$H409*K409</f>
      </c>
      <c r="AK409" s="18">
        <f>$H409*L409</f>
      </c>
      <c r="AL409" s="18">
        <f>$H409*M409</f>
      </c>
      <c r="AM409" s="14"/>
      <c r="AN409" s="14"/>
      <c r="AO409" s="14"/>
    </row>
    <row x14ac:dyDescent="0.25" r="410" customHeight="1" ht="17.25">
      <c r="A410" s="2" t="s">
        <v>855</v>
      </c>
      <c r="B410" s="2" t="s">
        <v>847</v>
      </c>
      <c r="C410" s="2" t="s">
        <v>56</v>
      </c>
      <c r="D410" s="2" t="s">
        <v>75</v>
      </c>
      <c r="E410" s="2" t="s">
        <v>52</v>
      </c>
      <c r="F410" s="2" t="s">
        <v>856</v>
      </c>
      <c r="G410" s="2" t="s">
        <v>617</v>
      </c>
      <c r="H410" s="13">
        <f>4.53+1.07</f>
      </c>
      <c r="I410" s="15">
        <f>(1.3*4.53+2.4*1.07)/$H410</f>
      </c>
      <c r="J410" s="15">
        <f>(3.7*4.53+7.2*1.07)/$H410</f>
      </c>
      <c r="K410" s="17">
        <f>(83*4.53+136*1.07)/$H410</f>
      </c>
      <c r="L410" s="13"/>
      <c r="M410" s="15">
        <f>(0.2*4.53+0.3*1.07)/$H410</f>
      </c>
      <c r="N410" s="15"/>
      <c r="O410" s="16"/>
      <c r="P410" s="13"/>
      <c r="Q410" s="13"/>
      <c r="R410" s="17"/>
      <c r="S410" s="13"/>
      <c r="T410" s="17"/>
      <c r="U410" s="13"/>
      <c r="V410" s="16"/>
      <c r="W410" s="13"/>
      <c r="X410" s="13"/>
      <c r="Y410" s="14"/>
      <c r="Z410" s="2"/>
      <c r="AA410" s="13">
        <f>H410*I410/100</f>
      </c>
      <c r="AB410" s="13">
        <f>H410*J410/100</f>
      </c>
      <c r="AC410" s="15">
        <f>H410*K410</f>
      </c>
      <c r="AD410" s="15">
        <f>H410*M410</f>
      </c>
      <c r="AE410" s="13">
        <f>H410*L410/100</f>
      </c>
      <c r="AF410" s="13">
        <f>AA410+AB410+AE410</f>
      </c>
      <c r="AG410" s="13">
        <f>I410+J410+L410</f>
      </c>
      <c r="AH410" s="18">
        <f>$H410*I410</f>
      </c>
      <c r="AI410" s="18">
        <f>$H410*J410</f>
      </c>
      <c r="AJ410" s="18">
        <f>$H410*K410</f>
      </c>
      <c r="AK410" s="18">
        <f>$H410*L410</f>
      </c>
      <c r="AL410" s="18">
        <f>$H410*M410</f>
      </c>
      <c r="AM410" s="14"/>
      <c r="AN410" s="14"/>
      <c r="AO410" s="14"/>
    </row>
    <row x14ac:dyDescent="0.25" r="411" customHeight="1" ht="17.25">
      <c r="A411" s="2" t="s">
        <v>857</v>
      </c>
      <c r="B411" s="2" t="s">
        <v>847</v>
      </c>
      <c r="C411" s="2" t="s">
        <v>68</v>
      </c>
      <c r="D411" s="2" t="s">
        <v>858</v>
      </c>
      <c r="E411" s="2" t="s">
        <v>52</v>
      </c>
      <c r="F411" s="2" t="s">
        <v>859</v>
      </c>
      <c r="G411" s="2" t="s">
        <v>860</v>
      </c>
      <c r="H411" s="16">
        <f>12.687399+15.203376</f>
      </c>
      <c r="I411" s="13">
        <f>(0.25*12.687399+0.22*15.203376)/H411</f>
      </c>
      <c r="J411" s="13">
        <f>(0.85*12.687399+0.76*15.203376)/H411</f>
      </c>
      <c r="K411" s="13">
        <f>(8.34*12.687399+8.23*15.203376)/H411</f>
      </c>
      <c r="L411" s="13">
        <f>(0.07*12.687399+0.08*15.203376)/H411</f>
      </c>
      <c r="M411" s="13">
        <f>(0.56*12.687399+0.51*15.203376)/H411</f>
      </c>
      <c r="N411" s="15"/>
      <c r="O411" s="16"/>
      <c r="P411" s="13"/>
      <c r="Q411" s="13"/>
      <c r="R411" s="17"/>
      <c r="S411" s="13"/>
      <c r="T411" s="17"/>
      <c r="U411" s="13"/>
      <c r="V411" s="16"/>
      <c r="W411" s="13"/>
      <c r="X411" s="13"/>
      <c r="Y411" s="14"/>
      <c r="Z411" s="2"/>
      <c r="AA411" s="13">
        <f>H411*I411/100</f>
      </c>
      <c r="AB411" s="13">
        <f>H411*J411/100</f>
      </c>
      <c r="AC411" s="15">
        <f>H411*K411</f>
      </c>
      <c r="AD411" s="15">
        <f>H411*M411</f>
      </c>
      <c r="AE411" s="13">
        <f>H411*L411/100</f>
      </c>
      <c r="AF411" s="13">
        <f>AA411+AB411+AE411</f>
      </c>
      <c r="AG411" s="13">
        <f>I411+J411+L411</f>
      </c>
      <c r="AH411" s="18">
        <f>$H411*I411</f>
      </c>
      <c r="AI411" s="18">
        <f>$H411*J411</f>
      </c>
      <c r="AJ411" s="18">
        <f>$H411*K411</f>
      </c>
      <c r="AK411" s="18">
        <f>$H411*L411</f>
      </c>
      <c r="AL411" s="18">
        <f>$H411*M411</f>
      </c>
      <c r="AM411" s="14"/>
      <c r="AN411" s="14"/>
      <c r="AO411" s="14"/>
    </row>
    <row x14ac:dyDescent="0.25" r="412" customHeight="1" ht="17.25">
      <c r="A412" s="2" t="s">
        <v>861</v>
      </c>
      <c r="B412" s="2" t="s">
        <v>862</v>
      </c>
      <c r="C412" s="2" t="s">
        <v>56</v>
      </c>
      <c r="D412" s="2"/>
      <c r="E412" s="12" t="s">
        <v>42</v>
      </c>
      <c r="F412" s="2" t="s">
        <v>863</v>
      </c>
      <c r="G412" s="2" t="s">
        <v>864</v>
      </c>
      <c r="H412" s="13">
        <v>11.4</v>
      </c>
      <c r="I412" s="13">
        <v>2.3</v>
      </c>
      <c r="J412" s="13">
        <v>3.3</v>
      </c>
      <c r="K412" s="14"/>
      <c r="L412" s="13"/>
      <c r="M412" s="13"/>
      <c r="N412" s="15"/>
      <c r="O412" s="16"/>
      <c r="P412" s="13"/>
      <c r="Q412" s="13"/>
      <c r="R412" s="17"/>
      <c r="S412" s="13"/>
      <c r="T412" s="17"/>
      <c r="U412" s="13"/>
      <c r="V412" s="16"/>
      <c r="W412" s="13"/>
      <c r="X412" s="13"/>
      <c r="Y412" s="14"/>
      <c r="Z412" s="2"/>
      <c r="AA412" s="13">
        <f>H412*I412/100</f>
      </c>
      <c r="AB412" s="13">
        <f>H412*J412/100</f>
      </c>
      <c r="AC412" s="15">
        <f>H412*K412</f>
      </c>
      <c r="AD412" s="15">
        <f>H412*M412</f>
      </c>
      <c r="AE412" s="13">
        <f>H412*L412/100</f>
      </c>
      <c r="AF412" s="13">
        <f>AA412+AB412+AE412</f>
      </c>
      <c r="AG412" s="13">
        <f>I412+J412+L412</f>
      </c>
      <c r="AH412" s="18">
        <f>$H412*I412</f>
      </c>
      <c r="AI412" s="18">
        <f>$H412*J412</f>
      </c>
      <c r="AJ412" s="18">
        <f>$H412*K412</f>
      </c>
      <c r="AK412" s="18">
        <f>$H412*L412</f>
      </c>
      <c r="AL412" s="18">
        <f>$H412*M412</f>
      </c>
      <c r="AM412" s="14"/>
      <c r="AN412" s="14"/>
      <c r="AO412" s="14"/>
    </row>
    <row x14ac:dyDescent="0.25" r="413" customHeight="1" ht="17.25">
      <c r="A413" s="2" t="s">
        <v>865</v>
      </c>
      <c r="B413" s="2" t="s">
        <v>862</v>
      </c>
      <c r="C413" s="2" t="s">
        <v>159</v>
      </c>
      <c r="D413" s="2"/>
      <c r="E413" s="12" t="s">
        <v>42</v>
      </c>
      <c r="F413" s="2" t="s">
        <v>866</v>
      </c>
      <c r="G413" s="2" t="s">
        <v>867</v>
      </c>
      <c r="H413" s="13">
        <v>14.21</v>
      </c>
      <c r="I413" s="13">
        <v>1.97</v>
      </c>
      <c r="J413" s="13">
        <v>5.53</v>
      </c>
      <c r="K413" s="15">
        <f>464/14.21</f>
      </c>
      <c r="L413" s="13"/>
      <c r="M413" s="13"/>
      <c r="N413" s="15"/>
      <c r="O413" s="16"/>
      <c r="P413" s="13"/>
      <c r="Q413" s="13"/>
      <c r="R413" s="17"/>
      <c r="S413" s="16"/>
      <c r="T413" s="17"/>
      <c r="U413" s="13"/>
      <c r="V413" s="16"/>
      <c r="W413" s="13"/>
      <c r="X413" s="13"/>
      <c r="Y413" s="16">
        <f>100*4122/14210000</f>
      </c>
      <c r="Z413" s="2" t="s">
        <v>418</v>
      </c>
      <c r="AA413" s="13">
        <f>H413*I413/100</f>
      </c>
      <c r="AB413" s="13">
        <f>H413*J413/100</f>
      </c>
      <c r="AC413" s="15">
        <f>H413*K413</f>
      </c>
      <c r="AD413" s="15">
        <f>H413*M413</f>
      </c>
      <c r="AE413" s="13">
        <f>H413*L413/100</f>
      </c>
      <c r="AF413" s="13">
        <f>AA413+AB413+AE413</f>
      </c>
      <c r="AG413" s="13">
        <f>I413+J413+L413</f>
      </c>
      <c r="AH413" s="18">
        <f>$H413*I413</f>
      </c>
      <c r="AI413" s="18">
        <f>$H413*J413</f>
      </c>
      <c r="AJ413" s="18">
        <f>$H413*K413</f>
      </c>
      <c r="AK413" s="18">
        <f>$H413*L413</f>
      </c>
      <c r="AL413" s="18">
        <f>$H413*M413</f>
      </c>
      <c r="AM413" s="14"/>
      <c r="AN413" s="14"/>
      <c r="AO413" s="14"/>
    </row>
    <row x14ac:dyDescent="0.25" r="414" customHeight="1" ht="17.25">
      <c r="A414" s="2" t="s">
        <v>868</v>
      </c>
      <c r="B414" s="2" t="s">
        <v>862</v>
      </c>
      <c r="C414" s="2" t="s">
        <v>159</v>
      </c>
      <c r="D414" s="2"/>
      <c r="E414" s="12" t="s">
        <v>42</v>
      </c>
      <c r="F414" s="2" t="s">
        <v>869</v>
      </c>
      <c r="G414" s="2" t="s">
        <v>870</v>
      </c>
      <c r="H414" s="13">
        <v>77.1</v>
      </c>
      <c r="I414" s="13">
        <v>2.01</v>
      </c>
      <c r="J414" s="13">
        <f>(1.38*38.4)/H414</f>
      </c>
      <c r="K414" s="17">
        <f>(44.82*172.8)/H414</f>
      </c>
      <c r="L414" s="13"/>
      <c r="M414" s="13"/>
      <c r="N414" s="15"/>
      <c r="O414" s="16"/>
      <c r="P414" s="13"/>
      <c r="Q414" s="13"/>
      <c r="R414" s="17"/>
      <c r="S414" s="13"/>
      <c r="T414" s="17"/>
      <c r="U414" s="13"/>
      <c r="V414" s="16"/>
      <c r="W414" s="13"/>
      <c r="X414" s="13"/>
      <c r="Y414" s="14"/>
      <c r="Z414" s="2"/>
      <c r="AA414" s="13">
        <f>H414*I414/100</f>
      </c>
      <c r="AB414" s="13">
        <f>H414*J414/100</f>
      </c>
      <c r="AC414" s="15">
        <f>H414*K414</f>
      </c>
      <c r="AD414" s="15">
        <f>H414*M414</f>
      </c>
      <c r="AE414" s="13">
        <f>H414*L414/100</f>
      </c>
      <c r="AF414" s="13">
        <f>AA414+AB414+AE414</f>
      </c>
      <c r="AG414" s="13">
        <f>I414+J414+L414</f>
      </c>
      <c r="AH414" s="18">
        <f>$H414*I414</f>
      </c>
      <c r="AI414" s="18">
        <f>$H414*J414</f>
      </c>
      <c r="AJ414" s="18">
        <f>$H414*K414</f>
      </c>
      <c r="AK414" s="18">
        <f>$H414*L414</f>
      </c>
      <c r="AL414" s="18">
        <f>$H414*M414</f>
      </c>
      <c r="AM414" s="14"/>
      <c r="AN414" s="14"/>
      <c r="AO414" s="14"/>
    </row>
    <row x14ac:dyDescent="0.25" r="415" customHeight="1" ht="17.25">
      <c r="A415" s="2" t="s">
        <v>871</v>
      </c>
      <c r="B415" s="2" t="s">
        <v>862</v>
      </c>
      <c r="C415" s="2" t="s">
        <v>40</v>
      </c>
      <c r="D415" s="2" t="s">
        <v>41</v>
      </c>
      <c r="E415" s="2" t="s">
        <v>52</v>
      </c>
      <c r="F415" s="2" t="s">
        <v>872</v>
      </c>
      <c r="G415" s="2" t="s">
        <v>733</v>
      </c>
      <c r="H415" s="13">
        <f>19.85+12.27</f>
      </c>
      <c r="I415" s="13">
        <f>(0.69*19.85+0.65*12.27)/$H415</f>
      </c>
      <c r="J415" s="13">
        <f>(1.56*19.85+2.18*12.27)/$H415</f>
      </c>
      <c r="K415" s="14"/>
      <c r="L415" s="13"/>
      <c r="M415" s="13"/>
      <c r="N415" s="15"/>
      <c r="O415" s="16"/>
      <c r="P415" s="13"/>
      <c r="Q415" s="13"/>
      <c r="R415" s="17"/>
      <c r="S415" s="13"/>
      <c r="T415" s="17"/>
      <c r="U415" s="13"/>
      <c r="V415" s="16"/>
      <c r="W415" s="13"/>
      <c r="X415" s="13"/>
      <c r="Y415" s="14"/>
      <c r="Z415" s="2"/>
      <c r="AA415" s="13">
        <f>H415*I415/100</f>
      </c>
      <c r="AB415" s="13">
        <f>H415*J415/100</f>
      </c>
      <c r="AC415" s="15">
        <f>H415*K415</f>
      </c>
      <c r="AD415" s="15">
        <f>H415*M415</f>
      </c>
      <c r="AE415" s="13">
        <f>H415*L415/100</f>
      </c>
      <c r="AF415" s="13">
        <f>AA415+AB415+AE415</f>
      </c>
      <c r="AG415" s="13">
        <f>I415+J415+L415</f>
      </c>
      <c r="AH415" s="18">
        <f>$H415*I415</f>
      </c>
      <c r="AI415" s="18">
        <f>$H415*J415</f>
      </c>
      <c r="AJ415" s="18">
        <f>$H415*K415</f>
      </c>
      <c r="AK415" s="18">
        <f>$H415*L415</f>
      </c>
      <c r="AL415" s="18">
        <f>$H415*M415</f>
      </c>
      <c r="AM415" s="14"/>
      <c r="AN415" s="14"/>
      <c r="AO415" s="14"/>
    </row>
    <row x14ac:dyDescent="0.25" r="416" customHeight="1" ht="17.25">
      <c r="A416" s="2" t="s">
        <v>873</v>
      </c>
      <c r="B416" s="2" t="s">
        <v>862</v>
      </c>
      <c r="C416" s="2" t="s">
        <v>159</v>
      </c>
      <c r="D416" s="2"/>
      <c r="E416" s="2" t="s">
        <v>52</v>
      </c>
      <c r="F416" s="2" t="s">
        <v>874</v>
      </c>
      <c r="G416" s="2" t="s">
        <v>108</v>
      </c>
      <c r="H416" s="13">
        <v>49.4</v>
      </c>
      <c r="I416" s="13">
        <v>0.4</v>
      </c>
      <c r="J416" s="13">
        <v>4.1</v>
      </c>
      <c r="K416" s="13">
        <v>23.9</v>
      </c>
      <c r="L416" s="13"/>
      <c r="M416" s="13">
        <v>0.5</v>
      </c>
      <c r="N416" s="15"/>
      <c r="O416" s="16"/>
      <c r="P416" s="13"/>
      <c r="Q416" s="13"/>
      <c r="R416" s="17"/>
      <c r="S416" s="13"/>
      <c r="T416" s="17"/>
      <c r="U416" s="13"/>
      <c r="V416" s="16"/>
      <c r="W416" s="13"/>
      <c r="X416" s="13"/>
      <c r="Y416" s="14"/>
      <c r="Z416" s="2"/>
      <c r="AA416" s="13">
        <f>H416*I416/100</f>
      </c>
      <c r="AB416" s="13">
        <f>H416*J416/100</f>
      </c>
      <c r="AC416" s="15">
        <f>H416*K416</f>
      </c>
      <c r="AD416" s="15">
        <f>H416*M416</f>
      </c>
      <c r="AE416" s="13">
        <f>H416*L416/100</f>
      </c>
      <c r="AF416" s="13">
        <f>AA416+AB416+AE416</f>
      </c>
      <c r="AG416" s="13">
        <f>I416+J416+L416</f>
      </c>
      <c r="AH416" s="18">
        <f>$H416*I416</f>
      </c>
      <c r="AI416" s="18">
        <f>$H416*J416</f>
      </c>
      <c r="AJ416" s="18">
        <f>$H416*K416</f>
      </c>
      <c r="AK416" s="18">
        <f>$H416*L416</f>
      </c>
      <c r="AL416" s="18">
        <f>$H416*M416</f>
      </c>
      <c r="AM416" s="14"/>
      <c r="AN416" s="14"/>
      <c r="AO416" s="14"/>
    </row>
    <row x14ac:dyDescent="0.25" r="417" customHeight="1" ht="17.25">
      <c r="A417" s="2" t="s">
        <v>875</v>
      </c>
      <c r="B417" s="2" t="s">
        <v>862</v>
      </c>
      <c r="C417" s="2" t="s">
        <v>40</v>
      </c>
      <c r="D417" s="2" t="s">
        <v>64</v>
      </c>
      <c r="E417" s="12" t="s">
        <v>42</v>
      </c>
      <c r="F417" s="2" t="s">
        <v>876</v>
      </c>
      <c r="G417" s="2" t="s">
        <v>877</v>
      </c>
      <c r="H417" s="13">
        <v>13.5</v>
      </c>
      <c r="I417" s="14">
        <v>2</v>
      </c>
      <c r="J417" s="14">
        <v>11</v>
      </c>
      <c r="K417" s="14"/>
      <c r="L417" s="13"/>
      <c r="M417" s="13"/>
      <c r="N417" s="15"/>
      <c r="O417" s="16"/>
      <c r="P417" s="13"/>
      <c r="Q417" s="13"/>
      <c r="R417" s="17"/>
      <c r="S417" s="13"/>
      <c r="T417" s="17"/>
      <c r="U417" s="13"/>
      <c r="V417" s="16"/>
      <c r="W417" s="13"/>
      <c r="X417" s="13"/>
      <c r="Y417" s="14"/>
      <c r="Z417" s="2"/>
      <c r="AA417" s="13">
        <f>H417*I417/100</f>
      </c>
      <c r="AB417" s="13">
        <f>H417*J417/100</f>
      </c>
      <c r="AC417" s="15">
        <f>H417*K417</f>
      </c>
      <c r="AD417" s="15">
        <f>H417*M417</f>
      </c>
      <c r="AE417" s="13">
        <f>H417*L417/100</f>
      </c>
      <c r="AF417" s="13">
        <f>AA417+AB417+AE417</f>
      </c>
      <c r="AG417" s="13">
        <f>I417+J417+L417</f>
      </c>
      <c r="AH417" s="18">
        <f>$H417*I417</f>
      </c>
      <c r="AI417" s="18">
        <f>$H417*J417</f>
      </c>
      <c r="AJ417" s="18">
        <f>$H417*K417</f>
      </c>
      <c r="AK417" s="18">
        <f>$H417*L417</f>
      </c>
      <c r="AL417" s="18">
        <f>$H417*M417</f>
      </c>
      <c r="AM417" s="14"/>
      <c r="AN417" s="14"/>
      <c r="AO417" s="14"/>
    </row>
    <row x14ac:dyDescent="0.25" r="418" customHeight="1" ht="17.25">
      <c r="A418" s="2" t="s">
        <v>878</v>
      </c>
      <c r="B418" s="2" t="s">
        <v>862</v>
      </c>
      <c r="C418" s="2" t="s">
        <v>159</v>
      </c>
      <c r="D418" s="2"/>
      <c r="E418" s="2" t="s">
        <v>52</v>
      </c>
      <c r="F418" s="2" t="s">
        <v>879</v>
      </c>
      <c r="G418" s="2" t="s">
        <v>108</v>
      </c>
      <c r="H418" s="16">
        <f>226700/0.052/1000000</f>
      </c>
      <c r="I418" s="13">
        <v>2.69</v>
      </c>
      <c r="J418" s="13">
        <v>5.2</v>
      </c>
      <c r="K418" s="13">
        <v>54.16</v>
      </c>
      <c r="L418" s="13"/>
      <c r="M418" s="13"/>
      <c r="N418" s="15"/>
      <c r="O418" s="16"/>
      <c r="P418" s="13"/>
      <c r="Q418" s="13"/>
      <c r="R418" s="17"/>
      <c r="S418" s="13"/>
      <c r="T418" s="17"/>
      <c r="U418" s="13"/>
      <c r="V418" s="16"/>
      <c r="W418" s="13"/>
      <c r="X418" s="13"/>
      <c r="Y418" s="14"/>
      <c r="Z418" s="2"/>
      <c r="AA418" s="13">
        <f>H418*I418/100</f>
      </c>
      <c r="AB418" s="13">
        <f>H418*J418/100</f>
      </c>
      <c r="AC418" s="15">
        <f>H418*K418</f>
      </c>
      <c r="AD418" s="15">
        <f>H418*M418</f>
      </c>
      <c r="AE418" s="13">
        <f>H418*L418/100</f>
      </c>
      <c r="AF418" s="13">
        <f>AA418+AB418+AE418</f>
      </c>
      <c r="AG418" s="13">
        <f>I418+J418+L418</f>
      </c>
      <c r="AH418" s="18">
        <f>$H418*I418</f>
      </c>
      <c r="AI418" s="18">
        <f>$H418*J418</f>
      </c>
      <c r="AJ418" s="18">
        <f>$H418*K418</f>
      </c>
      <c r="AK418" s="18">
        <f>$H418*L418</f>
      </c>
      <c r="AL418" s="18">
        <f>$H418*M418</f>
      </c>
      <c r="AM418" s="14"/>
      <c r="AN418" s="14"/>
      <c r="AO418" s="14"/>
    </row>
    <row x14ac:dyDescent="0.25" r="419" customHeight="1" ht="17.25">
      <c r="A419" s="2" t="s">
        <v>880</v>
      </c>
      <c r="B419" s="2" t="s">
        <v>862</v>
      </c>
      <c r="C419" s="2" t="s">
        <v>56</v>
      </c>
      <c r="D419" s="2" t="s">
        <v>79</v>
      </c>
      <c r="E419" s="2" t="s">
        <v>52</v>
      </c>
      <c r="F419" s="2" t="s">
        <v>675</v>
      </c>
      <c r="G419" s="2" t="s">
        <v>73</v>
      </c>
      <c r="H419" s="16">
        <f>13.948+2.027+10.241+1.049</f>
      </c>
      <c r="I419" s="13">
        <f>(0.2*13.948+0.2*2.027+0.26*10.241+0.37*1.049)/H419</f>
      </c>
      <c r="J419" s="13">
        <f>(0.56*13.948+0.61*2.027+0.72*10.241+0.86*1.049)/H419</f>
      </c>
      <c r="K419" s="17">
        <f>(188*13.948+142*2.027+171*10.241+212*1.049)/H419</f>
      </c>
      <c r="L419" s="13"/>
      <c r="M419" s="13">
        <f>(0.17*13.948+0.4*2.027+0.26*10.241+0.29*1.049)/H419</f>
      </c>
      <c r="N419" s="15"/>
      <c r="O419" s="16"/>
      <c r="P419" s="13"/>
      <c r="Q419" s="13"/>
      <c r="R419" s="17"/>
      <c r="S419" s="13"/>
      <c r="T419" s="17"/>
      <c r="U419" s="13"/>
      <c r="V419" s="16"/>
      <c r="W419" s="13"/>
      <c r="X419" s="13"/>
      <c r="Y419" s="14"/>
      <c r="Z419" s="2"/>
      <c r="AA419" s="13">
        <f>H419*I419/100</f>
      </c>
      <c r="AB419" s="13">
        <f>H419*J419/100</f>
      </c>
      <c r="AC419" s="15">
        <f>H419*K419</f>
      </c>
      <c r="AD419" s="15">
        <f>H419*M419</f>
      </c>
      <c r="AE419" s="13">
        <f>H419*L419/100</f>
      </c>
      <c r="AF419" s="13">
        <f>AA419+AB419+AE419</f>
      </c>
      <c r="AG419" s="13">
        <f>I419+J419+L419</f>
      </c>
      <c r="AH419" s="18">
        <f>$H419*I419</f>
      </c>
      <c r="AI419" s="18">
        <f>$H419*J419</f>
      </c>
      <c r="AJ419" s="18">
        <f>$H419*K419</f>
      </c>
      <c r="AK419" s="18">
        <f>$H419*L419</f>
      </c>
      <c r="AL419" s="18">
        <f>$H419*M419</f>
      </c>
      <c r="AM419" s="14"/>
      <c r="AN419" s="14"/>
      <c r="AO419" s="14"/>
    </row>
    <row x14ac:dyDescent="0.25" r="420" customHeight="1" ht="17.25">
      <c r="A420" s="2" t="s">
        <v>881</v>
      </c>
      <c r="B420" s="2" t="s">
        <v>862</v>
      </c>
      <c r="C420" s="2" t="s">
        <v>159</v>
      </c>
      <c r="D420" s="2"/>
      <c r="E420" s="12" t="s">
        <v>42</v>
      </c>
      <c r="F420" s="2" t="s">
        <v>43</v>
      </c>
      <c r="G420" s="2" t="s">
        <v>882</v>
      </c>
      <c r="H420" s="13">
        <v>22.43</v>
      </c>
      <c r="I420" s="13">
        <v>3.6</v>
      </c>
      <c r="J420" s="13">
        <v>8</v>
      </c>
      <c r="K420" s="14"/>
      <c r="L420" s="13"/>
      <c r="M420" s="13"/>
      <c r="N420" s="15"/>
      <c r="O420" s="16"/>
      <c r="P420" s="13"/>
      <c r="Q420" s="13"/>
      <c r="R420" s="17"/>
      <c r="S420" s="13"/>
      <c r="T420" s="17"/>
      <c r="U420" s="13"/>
      <c r="V420" s="16"/>
      <c r="W420" s="13"/>
      <c r="X420" s="13"/>
      <c r="Y420" s="14"/>
      <c r="Z420" s="2"/>
      <c r="AA420" s="13">
        <f>H420*I420/100</f>
      </c>
      <c r="AB420" s="13">
        <f>H420*J420/100</f>
      </c>
      <c r="AC420" s="15">
        <f>H420*K420</f>
      </c>
      <c r="AD420" s="15">
        <f>H420*M420</f>
      </c>
      <c r="AE420" s="13">
        <f>H420*L420/100</f>
      </c>
      <c r="AF420" s="13">
        <f>AA420+AB420+AE420</f>
      </c>
      <c r="AG420" s="13">
        <f>I420+J420+L420</f>
      </c>
      <c r="AH420" s="18">
        <f>$H420*I420</f>
      </c>
      <c r="AI420" s="18">
        <f>$H420*J420</f>
      </c>
      <c r="AJ420" s="18">
        <f>$H420*K420</f>
      </c>
      <c r="AK420" s="18">
        <f>$H420*L420</f>
      </c>
      <c r="AL420" s="18">
        <f>$H420*M420</f>
      </c>
      <c r="AM420" s="14"/>
      <c r="AN420" s="14"/>
      <c r="AO420" s="14"/>
    </row>
    <row x14ac:dyDescent="0.25" r="421" customHeight="1" ht="17.25">
      <c r="A421" s="2" t="s">
        <v>883</v>
      </c>
      <c r="B421" s="2" t="s">
        <v>862</v>
      </c>
      <c r="C421" s="2" t="s">
        <v>40</v>
      </c>
      <c r="D421" s="2" t="s">
        <v>41</v>
      </c>
      <c r="E421" s="12" t="s">
        <v>42</v>
      </c>
      <c r="F421" s="2" t="s">
        <v>43</v>
      </c>
      <c r="G421" s="2" t="s">
        <v>46</v>
      </c>
      <c r="H421" s="14">
        <v>50</v>
      </c>
      <c r="I421" s="13"/>
      <c r="J421" s="13">
        <v>3.4</v>
      </c>
      <c r="K421" s="14"/>
      <c r="L421" s="13"/>
      <c r="M421" s="13"/>
      <c r="N421" s="15"/>
      <c r="O421" s="16"/>
      <c r="P421" s="13"/>
      <c r="Q421" s="13"/>
      <c r="R421" s="17"/>
      <c r="S421" s="13"/>
      <c r="T421" s="17"/>
      <c r="U421" s="13"/>
      <c r="V421" s="16"/>
      <c r="W421" s="13"/>
      <c r="X421" s="13"/>
      <c r="Y421" s="14"/>
      <c r="Z421" s="2"/>
      <c r="AA421" s="13">
        <f>H421*I421/100</f>
      </c>
      <c r="AB421" s="13">
        <f>H421*J421/100</f>
      </c>
      <c r="AC421" s="15">
        <f>H421*K421</f>
      </c>
      <c r="AD421" s="15">
        <f>H421*M421</f>
      </c>
      <c r="AE421" s="13">
        <f>H421*L421/100</f>
      </c>
      <c r="AF421" s="13">
        <f>AA421+AB421+AE421</f>
      </c>
      <c r="AG421" s="13">
        <f>I421+J421+L421</f>
      </c>
      <c r="AH421" s="18">
        <f>$H421*I421</f>
      </c>
      <c r="AI421" s="18">
        <f>$H421*J421</f>
      </c>
      <c r="AJ421" s="18">
        <f>$H421*K421</f>
      </c>
      <c r="AK421" s="18">
        <f>$H421*L421</f>
      </c>
      <c r="AL421" s="18">
        <f>$H421*M421</f>
      </c>
      <c r="AM421" s="14"/>
      <c r="AN421" s="14"/>
      <c r="AO421" s="14"/>
    </row>
    <row x14ac:dyDescent="0.25" r="422" customHeight="1" ht="17.25">
      <c r="A422" s="2" t="s">
        <v>884</v>
      </c>
      <c r="B422" s="2" t="s">
        <v>862</v>
      </c>
      <c r="C422" s="2" t="s">
        <v>40</v>
      </c>
      <c r="D422" s="2" t="s">
        <v>64</v>
      </c>
      <c r="E422" s="2" t="s">
        <v>52</v>
      </c>
      <c r="F422" s="2" t="s">
        <v>885</v>
      </c>
      <c r="G422" s="2" t="s">
        <v>108</v>
      </c>
      <c r="H422" s="14">
        <v>133</v>
      </c>
      <c r="I422" s="13">
        <v>0.5</v>
      </c>
      <c r="J422" s="13">
        <v>2.25</v>
      </c>
      <c r="K422" s="14"/>
      <c r="L422" s="13"/>
      <c r="M422" s="13"/>
      <c r="N422" s="15"/>
      <c r="O422" s="16"/>
      <c r="P422" s="13"/>
      <c r="Q422" s="13"/>
      <c r="R422" s="17"/>
      <c r="S422" s="13"/>
      <c r="T422" s="17"/>
      <c r="U422" s="13"/>
      <c r="V422" s="16"/>
      <c r="W422" s="13"/>
      <c r="X422" s="13"/>
      <c r="Y422" s="14"/>
      <c r="Z422" s="2"/>
      <c r="AA422" s="13">
        <f>H422*I422/100</f>
      </c>
      <c r="AB422" s="13">
        <f>H422*J422/100</f>
      </c>
      <c r="AC422" s="15">
        <f>H422*K422</f>
      </c>
      <c r="AD422" s="15">
        <f>H422*M422</f>
      </c>
      <c r="AE422" s="13">
        <f>H422*L422/100</f>
      </c>
      <c r="AF422" s="13">
        <f>AA422+AB422+AE422</f>
      </c>
      <c r="AG422" s="13">
        <f>I422+J422+L422</f>
      </c>
      <c r="AH422" s="18">
        <f>$H422*I422</f>
      </c>
      <c r="AI422" s="18">
        <f>$H422*J422</f>
      </c>
      <c r="AJ422" s="18">
        <f>$H422*K422</f>
      </c>
      <c r="AK422" s="18">
        <f>$H422*L422</f>
      </c>
      <c r="AL422" s="18">
        <f>$H422*M422</f>
      </c>
      <c r="AM422" s="14"/>
      <c r="AN422" s="14"/>
      <c r="AO422" s="14"/>
    </row>
    <row x14ac:dyDescent="0.25" r="423" customHeight="1" ht="17.25">
      <c r="A423" s="2" t="s">
        <v>886</v>
      </c>
      <c r="B423" s="2" t="s">
        <v>862</v>
      </c>
      <c r="C423" s="2" t="s">
        <v>68</v>
      </c>
      <c r="D423" s="2" t="s">
        <v>887</v>
      </c>
      <c r="E423" s="2" t="s">
        <v>52</v>
      </c>
      <c r="F423" s="2" t="s">
        <v>888</v>
      </c>
      <c r="G423" s="2" t="s">
        <v>617</v>
      </c>
      <c r="H423" s="15">
        <f>76+977.1+395.9</f>
      </c>
      <c r="I423" s="13">
        <f>(0.07*76+0.03*977.1+0.09*395.9)/$H423</f>
      </c>
      <c r="J423" s="13">
        <f>(0.04*76+0.02*977.1+0.05*395.9)/$H423</f>
      </c>
      <c r="K423" s="15">
        <f>(10.97*450.8+12.26*186.2)/$H423</f>
      </c>
      <c r="L423" s="13">
        <f>(0.48*76+0.44*977.1+0.42*395.9)/$H423</f>
      </c>
      <c r="M423" s="13">
        <f>(0.21*450.8+0.28*186.2)/$H423</f>
      </c>
      <c r="N423" s="15"/>
      <c r="O423" s="16"/>
      <c r="P423" s="13"/>
      <c r="Q423" s="13"/>
      <c r="R423" s="17"/>
      <c r="S423" s="16">
        <f>(0.042*76+0.036*977.1+0.039*395.9)/$H423</f>
      </c>
      <c r="T423" s="17"/>
      <c r="U423" s="13"/>
      <c r="V423" s="16"/>
      <c r="W423" s="13"/>
      <c r="X423" s="13"/>
      <c r="Y423" s="14"/>
      <c r="Z423" s="2"/>
      <c r="AA423" s="13">
        <f>H423*I423/100</f>
      </c>
      <c r="AB423" s="13">
        <f>H423*J423/100</f>
      </c>
      <c r="AC423" s="15">
        <f>H423*K423</f>
      </c>
      <c r="AD423" s="15">
        <f>H423*M423</f>
      </c>
      <c r="AE423" s="13">
        <f>H423*L423/100</f>
      </c>
      <c r="AF423" s="13">
        <f>AA423+AB423+AE423</f>
      </c>
      <c r="AG423" s="13">
        <f>I423+J423+L423</f>
      </c>
      <c r="AH423" s="18">
        <f>$H423*I423</f>
      </c>
      <c r="AI423" s="18">
        <f>$H423*J423</f>
      </c>
      <c r="AJ423" s="18">
        <f>$H423*K423</f>
      </c>
      <c r="AK423" s="18">
        <f>$H423*L423</f>
      </c>
      <c r="AL423" s="18">
        <f>$H423*M423</f>
      </c>
      <c r="AM423" s="14"/>
      <c r="AN423" s="14"/>
      <c r="AO423" s="14"/>
    </row>
    <row x14ac:dyDescent="0.25" r="424" customHeight="1" ht="17.25">
      <c r="A424" s="2" t="s">
        <v>889</v>
      </c>
      <c r="B424" s="2" t="s">
        <v>862</v>
      </c>
      <c r="C424" s="2" t="s">
        <v>56</v>
      </c>
      <c r="D424" s="2"/>
      <c r="E424" s="12" t="s">
        <v>42</v>
      </c>
      <c r="F424" s="2" t="s">
        <v>890</v>
      </c>
      <c r="G424" s="2" t="s">
        <v>877</v>
      </c>
      <c r="H424" s="15">
        <v>5</v>
      </c>
      <c r="I424" s="13">
        <v>3.3</v>
      </c>
      <c r="J424" s="13">
        <v>5.2</v>
      </c>
      <c r="K424" s="14">
        <v>125</v>
      </c>
      <c r="L424" s="13"/>
      <c r="M424" s="13">
        <v>0.4</v>
      </c>
      <c r="N424" s="15"/>
      <c r="O424" s="16"/>
      <c r="P424" s="13"/>
      <c r="Q424" s="13"/>
      <c r="R424" s="17"/>
      <c r="S424" s="13"/>
      <c r="T424" s="17"/>
      <c r="U424" s="13"/>
      <c r="V424" s="16"/>
      <c r="W424" s="13"/>
      <c r="X424" s="13"/>
      <c r="Y424" s="14"/>
      <c r="Z424" s="2"/>
      <c r="AA424" s="13">
        <f>H424*I424/100</f>
      </c>
      <c r="AB424" s="13">
        <f>H424*J424/100</f>
      </c>
      <c r="AC424" s="15">
        <f>H424*K424</f>
      </c>
      <c r="AD424" s="15">
        <f>H424*M424</f>
      </c>
      <c r="AE424" s="13">
        <f>H424*L424/100</f>
      </c>
      <c r="AF424" s="13">
        <f>AA424+AB424+AE424</f>
      </c>
      <c r="AG424" s="13">
        <f>I424+J424+L424</f>
      </c>
      <c r="AH424" s="18">
        <f>$H424*I424</f>
      </c>
      <c r="AI424" s="18">
        <f>$H424*J424</f>
      </c>
      <c r="AJ424" s="18">
        <f>$H424*K424</f>
      </c>
      <c r="AK424" s="18">
        <f>$H424*L424</f>
      </c>
      <c r="AL424" s="18">
        <f>$H424*M424</f>
      </c>
      <c r="AM424" s="14"/>
      <c r="AN424" s="14"/>
      <c r="AO424" s="14"/>
    </row>
    <row x14ac:dyDescent="0.25" r="425" customHeight="1" ht="17.25">
      <c r="A425" s="2" t="s">
        <v>891</v>
      </c>
      <c r="B425" s="2" t="s">
        <v>862</v>
      </c>
      <c r="C425" s="2" t="s">
        <v>40</v>
      </c>
      <c r="D425" s="2" t="s">
        <v>169</v>
      </c>
      <c r="E425" s="2" t="s">
        <v>52</v>
      </c>
      <c r="F425" s="2" t="s">
        <v>879</v>
      </c>
      <c r="G425" s="2" t="s">
        <v>108</v>
      </c>
      <c r="H425" s="13">
        <f>0.6063+0.5904</f>
      </c>
      <c r="I425" s="13">
        <f>(3.81*0.6063+12.45*0.5904)/$H425</f>
      </c>
      <c r="J425" s="13">
        <f>(4.83*0.6063+2.9*0.5904)/$H425</f>
      </c>
      <c r="K425" s="17">
        <f>(123.4*0.6063+278.78*0.5904)/$H425</f>
      </c>
      <c r="L425" s="13">
        <f>(0.99*0.6063+0.78*0.5904)/$H425</f>
      </c>
      <c r="M425" s="13"/>
      <c r="N425" s="15"/>
      <c r="O425" s="16"/>
      <c r="P425" s="13"/>
      <c r="Q425" s="13"/>
      <c r="R425" s="17"/>
      <c r="S425" s="13"/>
      <c r="T425" s="17"/>
      <c r="U425" s="13"/>
      <c r="V425" s="16"/>
      <c r="W425" s="13"/>
      <c r="X425" s="13"/>
      <c r="Y425" s="14"/>
      <c r="Z425" s="2"/>
      <c r="AA425" s="13">
        <f>H425*I425/100</f>
      </c>
      <c r="AB425" s="13">
        <f>H425*J425/100</f>
      </c>
      <c r="AC425" s="15">
        <f>H425*K425</f>
      </c>
      <c r="AD425" s="15">
        <f>H425*M425</f>
      </c>
      <c r="AE425" s="13">
        <f>H425*L425/100</f>
      </c>
      <c r="AF425" s="13">
        <f>AA425+AB425+AE425</f>
      </c>
      <c r="AG425" s="13">
        <f>I425+J425+L425</f>
      </c>
      <c r="AH425" s="18">
        <f>$H425*I425</f>
      </c>
      <c r="AI425" s="18">
        <f>$H425*J425</f>
      </c>
      <c r="AJ425" s="18">
        <f>$H425*K425</f>
      </c>
      <c r="AK425" s="18">
        <f>$H425*L425</f>
      </c>
      <c r="AL425" s="18">
        <f>$H425*M425</f>
      </c>
      <c r="AM425" s="14"/>
      <c r="AN425" s="14"/>
      <c r="AO425" s="14"/>
    </row>
    <row x14ac:dyDescent="0.25" r="426" customHeight="1" ht="17.25">
      <c r="A426" s="2" t="s">
        <v>892</v>
      </c>
      <c r="B426" s="2" t="s">
        <v>862</v>
      </c>
      <c r="C426" s="2" t="s">
        <v>40</v>
      </c>
      <c r="D426" s="2" t="s">
        <v>169</v>
      </c>
      <c r="E426" s="2" t="s">
        <v>52</v>
      </c>
      <c r="F426" s="2" t="s">
        <v>879</v>
      </c>
      <c r="G426" s="2" t="s">
        <v>108</v>
      </c>
      <c r="H426" s="16">
        <f>32200/0.138/1000000</f>
      </c>
      <c r="I426" s="13">
        <v>13.8</v>
      </c>
      <c r="J426" s="13">
        <v>7.8</v>
      </c>
      <c r="K426" s="14"/>
      <c r="L426" s="13"/>
      <c r="M426" s="13"/>
      <c r="N426" s="15"/>
      <c r="O426" s="16"/>
      <c r="P426" s="13"/>
      <c r="Q426" s="13"/>
      <c r="R426" s="17"/>
      <c r="S426" s="13"/>
      <c r="T426" s="17"/>
      <c r="U426" s="13"/>
      <c r="V426" s="16"/>
      <c r="W426" s="13"/>
      <c r="X426" s="13"/>
      <c r="Y426" s="14"/>
      <c r="Z426" s="2"/>
      <c r="AA426" s="13">
        <f>H426*I426/100</f>
      </c>
      <c r="AB426" s="13">
        <f>H426*J426/100</f>
      </c>
      <c r="AC426" s="15">
        <f>H426*K426</f>
      </c>
      <c r="AD426" s="15">
        <f>H426*M426</f>
      </c>
      <c r="AE426" s="13">
        <f>H426*L426/100</f>
      </c>
      <c r="AF426" s="13">
        <f>AA426+AB426+AE426</f>
      </c>
      <c r="AG426" s="13">
        <f>I426+J426+L426</f>
      </c>
      <c r="AH426" s="18">
        <f>$H426*I426</f>
      </c>
      <c r="AI426" s="18">
        <f>$H426*J426</f>
      </c>
      <c r="AJ426" s="18">
        <f>$H426*K426</f>
      </c>
      <c r="AK426" s="18">
        <f>$H426*L426</f>
      </c>
      <c r="AL426" s="18">
        <f>$H426*M426</f>
      </c>
      <c r="AM426" s="14"/>
      <c r="AN426" s="14"/>
      <c r="AO426" s="14"/>
    </row>
    <row x14ac:dyDescent="0.25" r="427" customHeight="1" ht="17.25">
      <c r="A427" s="2" t="s">
        <v>893</v>
      </c>
      <c r="B427" s="2" t="s">
        <v>862</v>
      </c>
      <c r="C427" s="2" t="s">
        <v>159</v>
      </c>
      <c r="D427" s="2"/>
      <c r="E427" s="12" t="s">
        <v>42</v>
      </c>
      <c r="F427" s="2" t="s">
        <v>894</v>
      </c>
      <c r="G427" s="2" t="s">
        <v>877</v>
      </c>
      <c r="H427" s="15">
        <v>2</v>
      </c>
      <c r="I427" s="14">
        <v>10</v>
      </c>
      <c r="J427" s="14">
        <v>10</v>
      </c>
      <c r="K427" s="14"/>
      <c r="L427" s="13">
        <v>0.5</v>
      </c>
      <c r="M427" s="13"/>
      <c r="N427" s="15"/>
      <c r="O427" s="16"/>
      <c r="P427" s="13"/>
      <c r="Q427" s="13"/>
      <c r="R427" s="17"/>
      <c r="S427" s="13"/>
      <c r="T427" s="17"/>
      <c r="U427" s="13"/>
      <c r="V427" s="16"/>
      <c r="W427" s="13"/>
      <c r="X427" s="13"/>
      <c r="Y427" s="14"/>
      <c r="Z427" s="2"/>
      <c r="AA427" s="13">
        <f>H427*I427/100</f>
      </c>
      <c r="AB427" s="13">
        <f>H427*J427/100</f>
      </c>
      <c r="AC427" s="15">
        <f>H427*K427</f>
      </c>
      <c r="AD427" s="15">
        <f>H427*M427</f>
      </c>
      <c r="AE427" s="13">
        <f>H427*L427/100</f>
      </c>
      <c r="AF427" s="13">
        <f>AA427+AB427+AE427</f>
      </c>
      <c r="AG427" s="13">
        <f>I427+J427+L427</f>
      </c>
      <c r="AH427" s="18">
        <f>$H427*I427</f>
      </c>
      <c r="AI427" s="18">
        <f>$H427*J427</f>
      </c>
      <c r="AJ427" s="18">
        <f>$H427*K427</f>
      </c>
      <c r="AK427" s="18">
        <f>$H427*L427</f>
      </c>
      <c r="AL427" s="18">
        <f>$H427*M427</f>
      </c>
      <c r="AM427" s="14"/>
      <c r="AN427" s="14"/>
      <c r="AO427" s="14"/>
    </row>
    <row x14ac:dyDescent="0.25" r="428" customHeight="1" ht="17.25">
      <c r="A428" s="2" t="s">
        <v>895</v>
      </c>
      <c r="B428" s="2" t="s">
        <v>862</v>
      </c>
      <c r="C428" s="2" t="s">
        <v>610</v>
      </c>
      <c r="D428" s="2"/>
      <c r="E428" s="2" t="s">
        <v>52</v>
      </c>
      <c r="F428" s="2" t="s">
        <v>896</v>
      </c>
      <c r="G428" s="2" t="s">
        <v>897</v>
      </c>
      <c r="H428" s="13">
        <v>20.416</v>
      </c>
      <c r="I428" s="13">
        <v>1.8</v>
      </c>
      <c r="J428" s="13">
        <v>1.4</v>
      </c>
      <c r="K428" s="13">
        <v>16.6</v>
      </c>
      <c r="L428" s="13"/>
      <c r="M428" s="13"/>
      <c r="N428" s="15"/>
      <c r="O428" s="16"/>
      <c r="P428" s="13"/>
      <c r="Q428" s="13"/>
      <c r="R428" s="17"/>
      <c r="S428" s="13"/>
      <c r="T428" s="17"/>
      <c r="U428" s="13"/>
      <c r="V428" s="16"/>
      <c r="W428" s="13"/>
      <c r="X428" s="13"/>
      <c r="Y428" s="14"/>
      <c r="Z428" s="2"/>
      <c r="AA428" s="13">
        <f>H428*I428/100</f>
      </c>
      <c r="AB428" s="13">
        <f>H428*J428/100</f>
      </c>
      <c r="AC428" s="15">
        <f>H428*K428</f>
      </c>
      <c r="AD428" s="15">
        <f>H428*M428</f>
      </c>
      <c r="AE428" s="13">
        <f>H428*L428/100</f>
      </c>
      <c r="AF428" s="13">
        <f>AA428+AB428+AE428</f>
      </c>
      <c r="AG428" s="13">
        <f>I428+J428+L428</f>
      </c>
      <c r="AH428" s="18">
        <f>$H428*I428</f>
      </c>
      <c r="AI428" s="18">
        <f>$H428*J428</f>
      </c>
      <c r="AJ428" s="18">
        <f>$H428*K428</f>
      </c>
      <c r="AK428" s="18">
        <f>$H428*L428</f>
      </c>
      <c r="AL428" s="18">
        <f>$H428*M428</f>
      </c>
      <c r="AM428" s="14"/>
      <c r="AN428" s="14"/>
      <c r="AO428" s="14"/>
    </row>
    <row x14ac:dyDescent="0.25" r="429" customHeight="1" ht="17.25">
      <c r="A429" s="2" t="s">
        <v>898</v>
      </c>
      <c r="B429" s="2" t="s">
        <v>862</v>
      </c>
      <c r="C429" s="2" t="s">
        <v>40</v>
      </c>
      <c r="D429" s="2" t="s">
        <v>41</v>
      </c>
      <c r="E429" s="12" t="s">
        <v>42</v>
      </c>
      <c r="F429" s="2" t="s">
        <v>899</v>
      </c>
      <c r="G429" s="2" t="s">
        <v>877</v>
      </c>
      <c r="H429" s="15">
        <v>25</v>
      </c>
      <c r="I429" s="13">
        <v>1.8</v>
      </c>
      <c r="J429" s="13">
        <v>7.7</v>
      </c>
      <c r="K429" s="14"/>
      <c r="L429" s="13"/>
      <c r="M429" s="13"/>
      <c r="N429" s="15"/>
      <c r="O429" s="16"/>
      <c r="P429" s="13"/>
      <c r="Q429" s="13"/>
      <c r="R429" s="17"/>
      <c r="S429" s="13"/>
      <c r="T429" s="17"/>
      <c r="U429" s="13"/>
      <c r="V429" s="16"/>
      <c r="W429" s="13"/>
      <c r="X429" s="13"/>
      <c r="Y429" s="14"/>
      <c r="Z429" s="2"/>
      <c r="AA429" s="13">
        <f>H429*I429/100</f>
      </c>
      <c r="AB429" s="13">
        <f>H429*J429/100</f>
      </c>
      <c r="AC429" s="15">
        <f>H429*K429</f>
      </c>
      <c r="AD429" s="15">
        <f>H429*M429</f>
      </c>
      <c r="AE429" s="13">
        <f>H429*L429/100</f>
      </c>
      <c r="AF429" s="22">
        <f>AA429+AB429+AE429</f>
      </c>
      <c r="AG429" s="13">
        <f>I429+J429+L429</f>
      </c>
      <c r="AH429" s="18">
        <f>$H429*I429</f>
      </c>
      <c r="AI429" s="18">
        <f>$H429*J429</f>
      </c>
      <c r="AJ429" s="18">
        <f>$H429*K429</f>
      </c>
      <c r="AK429" s="18">
        <f>$H429*L429</f>
      </c>
      <c r="AL429" s="18">
        <f>$H429*M429</f>
      </c>
      <c r="AM429" s="14"/>
      <c r="AN429" s="14"/>
      <c r="AO429" s="14"/>
    </row>
    <row x14ac:dyDescent="0.25" r="430" customHeight="1" ht="17.25">
      <c r="A430" s="2" t="s">
        <v>900</v>
      </c>
      <c r="B430" s="2" t="s">
        <v>862</v>
      </c>
      <c r="C430" s="2" t="s">
        <v>50</v>
      </c>
      <c r="D430" s="2"/>
      <c r="E430" s="2" t="s">
        <v>52</v>
      </c>
      <c r="F430" s="2" t="s">
        <v>885</v>
      </c>
      <c r="G430" s="2" t="s">
        <v>108</v>
      </c>
      <c r="H430" s="13">
        <v>20.6</v>
      </c>
      <c r="I430" s="13"/>
      <c r="J430" s="13">
        <v>0.4</v>
      </c>
      <c r="K430" s="14"/>
      <c r="L430" s="13">
        <v>1.16</v>
      </c>
      <c r="M430" s="13"/>
      <c r="N430" s="15"/>
      <c r="O430" s="16"/>
      <c r="P430" s="13">
        <v>0.07</v>
      </c>
      <c r="Q430" s="13"/>
      <c r="R430" s="17"/>
      <c r="S430" s="13"/>
      <c r="T430" s="17"/>
      <c r="U430" s="13"/>
      <c r="V430" s="16"/>
      <c r="W430" s="13"/>
      <c r="X430" s="13"/>
      <c r="Y430" s="14"/>
      <c r="Z430" s="2"/>
      <c r="AA430" s="13">
        <f>H430*I430/100</f>
      </c>
      <c r="AB430" s="13">
        <f>H430*J430/100</f>
      </c>
      <c r="AC430" s="15">
        <f>H430*K430</f>
      </c>
      <c r="AD430" s="15">
        <f>H430*M430</f>
      </c>
      <c r="AE430" s="13">
        <f>H430*L430/100</f>
      </c>
      <c r="AF430" s="13">
        <f>AA430+AB430+AE430</f>
      </c>
      <c r="AG430" s="13">
        <f>I430+J430+L430</f>
      </c>
      <c r="AH430" s="18">
        <f>$H430*I430</f>
      </c>
      <c r="AI430" s="18">
        <f>$H430*J430</f>
      </c>
      <c r="AJ430" s="18">
        <f>$H430*K430</f>
      </c>
      <c r="AK430" s="18">
        <f>$H430*L430</f>
      </c>
      <c r="AL430" s="18">
        <f>$H430*M430</f>
      </c>
      <c r="AM430" s="14"/>
      <c r="AN430" s="14"/>
      <c r="AO430" s="14"/>
    </row>
    <row x14ac:dyDescent="0.25" r="431" customHeight="1" ht="17.25">
      <c r="A431" s="2" t="s">
        <v>901</v>
      </c>
      <c r="B431" s="2" t="s">
        <v>862</v>
      </c>
      <c r="C431" s="2" t="s">
        <v>159</v>
      </c>
      <c r="D431" s="2"/>
      <c r="E431" s="2" t="s">
        <v>52</v>
      </c>
      <c r="F431" s="2" t="s">
        <v>879</v>
      </c>
      <c r="G431" s="2" t="s">
        <v>108</v>
      </c>
      <c r="H431" s="16">
        <v>8.501788</v>
      </c>
      <c r="I431" s="13">
        <v>9.4</v>
      </c>
      <c r="J431" s="15">
        <v>6</v>
      </c>
      <c r="K431" s="15">
        <v>256</v>
      </c>
      <c r="L431" s="13"/>
      <c r="M431" s="13"/>
      <c r="N431" s="15"/>
      <c r="O431" s="16"/>
      <c r="P431" s="13"/>
      <c r="Q431" s="13"/>
      <c r="R431" s="17"/>
      <c r="S431" s="13"/>
      <c r="T431" s="17"/>
      <c r="U431" s="13"/>
      <c r="V431" s="16"/>
      <c r="W431" s="13"/>
      <c r="X431" s="13"/>
      <c r="Y431" s="14"/>
      <c r="Z431" s="2"/>
      <c r="AA431" s="13">
        <f>H431*I431/100</f>
      </c>
      <c r="AB431" s="13">
        <f>H431*J431/100</f>
      </c>
      <c r="AC431" s="15">
        <f>H431*K431</f>
      </c>
      <c r="AD431" s="15">
        <f>H431*M431</f>
      </c>
      <c r="AE431" s="13">
        <f>H431*L431/100</f>
      </c>
      <c r="AF431" s="13">
        <f>AA431+AB431+AE431</f>
      </c>
      <c r="AG431" s="13">
        <f>I431+J431+L431</f>
      </c>
      <c r="AH431" s="18">
        <f>$H431*I431</f>
      </c>
      <c r="AI431" s="18">
        <f>$H431*J431</f>
      </c>
      <c r="AJ431" s="18">
        <f>$H431*K431</f>
      </c>
      <c r="AK431" s="18">
        <f>$H431*L431</f>
      </c>
      <c r="AL431" s="18">
        <f>$H431*M431</f>
      </c>
      <c r="AM431" s="14"/>
      <c r="AN431" s="14"/>
      <c r="AO431" s="14"/>
    </row>
    <row x14ac:dyDescent="0.25" r="432" customHeight="1" ht="17.25">
      <c r="A432" s="2" t="s">
        <v>902</v>
      </c>
      <c r="B432" s="2" t="s">
        <v>862</v>
      </c>
      <c r="C432" s="2" t="s">
        <v>159</v>
      </c>
      <c r="D432" s="2"/>
      <c r="E432" s="2" t="s">
        <v>52</v>
      </c>
      <c r="F432" s="2" t="s">
        <v>903</v>
      </c>
      <c r="G432" s="2" t="s">
        <v>514</v>
      </c>
      <c r="H432" s="13">
        <v>219.8</v>
      </c>
      <c r="I432" s="13"/>
      <c r="J432" s="13">
        <v>0.08</v>
      </c>
      <c r="K432" s="13">
        <v>3.81</v>
      </c>
      <c r="L432" s="13">
        <v>0.43</v>
      </c>
      <c r="M432" s="13">
        <v>0.61</v>
      </c>
      <c r="N432" s="15"/>
      <c r="O432" s="16"/>
      <c r="P432" s="13"/>
      <c r="Q432" s="13"/>
      <c r="R432" s="17"/>
      <c r="S432" s="13"/>
      <c r="T432" s="17"/>
      <c r="U432" s="13"/>
      <c r="V432" s="16"/>
      <c r="W432" s="13"/>
      <c r="X432" s="13"/>
      <c r="Y432" s="14"/>
      <c r="Z432" s="2"/>
      <c r="AA432" s="13">
        <f>H432*I432/100</f>
      </c>
      <c r="AB432" s="13">
        <f>H432*J432/100</f>
      </c>
      <c r="AC432" s="15">
        <f>H432*K432</f>
      </c>
      <c r="AD432" s="15">
        <f>H432*M432</f>
      </c>
      <c r="AE432" s="13">
        <f>H432*L432/100</f>
      </c>
      <c r="AF432" s="13">
        <f>AA432+AB432+AE432</f>
      </c>
      <c r="AG432" s="13">
        <f>I432+J432+L432</f>
      </c>
      <c r="AH432" s="18">
        <f>$H432*I432</f>
      </c>
      <c r="AI432" s="18">
        <f>$H432*J432</f>
      </c>
      <c r="AJ432" s="18">
        <f>$H432*K432</f>
      </c>
      <c r="AK432" s="18">
        <f>$H432*L432</f>
      </c>
      <c r="AL432" s="18">
        <f>$H432*M432</f>
      </c>
      <c r="AM432" s="14"/>
      <c r="AN432" s="14"/>
      <c r="AO432" s="14"/>
    </row>
    <row x14ac:dyDescent="0.25" r="433" customHeight="1" ht="17.25">
      <c r="A433" s="2" t="s">
        <v>904</v>
      </c>
      <c r="B433" s="2" t="s">
        <v>862</v>
      </c>
      <c r="C433" s="2" t="s">
        <v>50</v>
      </c>
      <c r="D433" s="2"/>
      <c r="E433" s="2" t="s">
        <v>52</v>
      </c>
      <c r="F433" s="2" t="s">
        <v>885</v>
      </c>
      <c r="G433" s="2" t="s">
        <v>108</v>
      </c>
      <c r="H433" s="13">
        <f>23.99+11.21</f>
      </c>
      <c r="I433" s="13"/>
      <c r="J433" s="13">
        <f>(0.95*23.99+0.64*11.21)/$H433</f>
      </c>
      <c r="K433" s="14"/>
      <c r="L433" s="13">
        <f>(2.03*23.99+2.04*11.21)/$H433</f>
      </c>
      <c r="M433" s="13"/>
      <c r="N433" s="15"/>
      <c r="O433" s="16"/>
      <c r="P433" s="13"/>
      <c r="Q433" s="13"/>
      <c r="R433" s="17"/>
      <c r="S433" s="13"/>
      <c r="T433" s="17"/>
      <c r="U433" s="13"/>
      <c r="V433" s="16"/>
      <c r="W433" s="13"/>
      <c r="X433" s="13"/>
      <c r="Y433" s="14"/>
      <c r="Z433" s="2"/>
      <c r="AA433" s="13">
        <f>H433*I433/100</f>
      </c>
      <c r="AB433" s="13">
        <f>H433*J433/100</f>
      </c>
      <c r="AC433" s="15">
        <f>H433*K433</f>
      </c>
      <c r="AD433" s="15">
        <f>H433*M433</f>
      </c>
      <c r="AE433" s="13">
        <f>H433*L433/100</f>
      </c>
      <c r="AF433" s="13">
        <f>AA433+AB433+AE433</f>
      </c>
      <c r="AG433" s="13">
        <f>I433+J433+L433</f>
      </c>
      <c r="AH433" s="18">
        <f>$H433*I433</f>
      </c>
      <c r="AI433" s="18">
        <f>$H433*J433</f>
      </c>
      <c r="AJ433" s="18">
        <f>$H433*K433</f>
      </c>
      <c r="AK433" s="18">
        <f>$H433*L433</f>
      </c>
      <c r="AL433" s="18">
        <f>$H433*M433</f>
      </c>
      <c r="AM433" s="14"/>
      <c r="AN433" s="14"/>
      <c r="AO433" s="14"/>
    </row>
    <row x14ac:dyDescent="0.25" r="434" customHeight="1" ht="17.25">
      <c r="A434" s="2" t="s">
        <v>905</v>
      </c>
      <c r="B434" s="2" t="s">
        <v>862</v>
      </c>
      <c r="C434" s="2" t="s">
        <v>610</v>
      </c>
      <c r="D434" s="2"/>
      <c r="E434" s="2" t="s">
        <v>52</v>
      </c>
      <c r="F434" s="2" t="s">
        <v>885</v>
      </c>
      <c r="G434" s="2" t="s">
        <v>108</v>
      </c>
      <c r="H434" s="13">
        <v>136.4</v>
      </c>
      <c r="I434" s="13">
        <v>0.48</v>
      </c>
      <c r="J434" s="13">
        <v>2.46</v>
      </c>
      <c r="K434" s="14"/>
      <c r="L434" s="13"/>
      <c r="M434" s="13"/>
      <c r="N434" s="15"/>
      <c r="O434" s="16"/>
      <c r="P434" s="13"/>
      <c r="Q434" s="13"/>
      <c r="R434" s="17"/>
      <c r="S434" s="13"/>
      <c r="T434" s="17"/>
      <c r="U434" s="13"/>
      <c r="V434" s="16"/>
      <c r="W434" s="13"/>
      <c r="X434" s="13"/>
      <c r="Y434" s="14"/>
      <c r="Z434" s="2"/>
      <c r="AA434" s="13">
        <f>H434*I434/100</f>
      </c>
      <c r="AB434" s="13">
        <f>H434*J434/100</f>
      </c>
      <c r="AC434" s="15">
        <f>H434*K434</f>
      </c>
      <c r="AD434" s="15">
        <f>H434*M434</f>
      </c>
      <c r="AE434" s="13">
        <f>H434*L434/100</f>
      </c>
      <c r="AF434" s="13">
        <f>AA434+AB434+AE434</f>
      </c>
      <c r="AG434" s="13">
        <f>I434+J434+L434</f>
      </c>
      <c r="AH434" s="18">
        <f>$H434*I434</f>
      </c>
      <c r="AI434" s="18">
        <f>$H434*J434</f>
      </c>
      <c r="AJ434" s="18">
        <f>$H434*K434</f>
      </c>
      <c r="AK434" s="18">
        <f>$H434*L434</f>
      </c>
      <c r="AL434" s="18">
        <f>$H434*M434</f>
      </c>
      <c r="AM434" s="14"/>
      <c r="AN434" s="14"/>
      <c r="AO434" s="14"/>
    </row>
    <row x14ac:dyDescent="0.25" r="435" customHeight="1" ht="17.25">
      <c r="A435" s="2" t="s">
        <v>906</v>
      </c>
      <c r="B435" s="2" t="s">
        <v>862</v>
      </c>
      <c r="C435" s="2" t="s">
        <v>442</v>
      </c>
      <c r="D435" s="2" t="s">
        <v>907</v>
      </c>
      <c r="E435" s="2" t="s">
        <v>52</v>
      </c>
      <c r="F435" s="2" t="s">
        <v>872</v>
      </c>
      <c r="G435" s="2" t="s">
        <v>908</v>
      </c>
      <c r="H435" s="13">
        <f>2.74+2.33+2.8+0.29+0.38+0.17+0.66+0.5+0.43+0.28+0.87+0.6+0.3+1.79+1.44+1.3+2.57+2.09</f>
      </c>
      <c r="I435" s="13">
        <f>(5.81*2.74+4.42*2.33+4.55*2.8+1.56*0.29+1.46*0.38+1.01*0.17+5.45*0.66+3.72*0.5+3.88*0.43+1.63*0.28+1.39*0.87+1.46*0.6+2.49*0.3+2.59*1.79+2.15*1.44+3.23*1.3+2.84*2.57+2.87*2.09)/$H435</f>
      </c>
      <c r="J435" s="13">
        <f>(3.01*2.74+2.36*2.33+2.01*2.8+0.25*0.29+0.17*0.38+0.19*0.17+1.09*0.66+1.43*0.5+1.55*0.43+0.29*0.28+0.37*0.87+0.45*0.6+0.21*0.3+0.28*1.79+0.31*1.44+0.22*1.3+0.27*2.57+0.22*2.09)/$H435</f>
      </c>
      <c r="K435" s="17">
        <f>(304*2.74+244*2.33+282*2.8+417*0.29+336*0.38+374*0.17+118*0.66+93*0.5+77*0.43+343*0.28+322*0.87+294*0.6+321*0.3+244*1.79+313*1.44+157*1.3+175*2.57+176*2.09)/$H435</f>
      </c>
      <c r="L435" s="13"/>
      <c r="M435" s="13">
        <f>(0*2.74+0*2.33+0*2.8+0*0.29+0*0.38+0*0.17+1.12*0.66+1.25*0.5+1.07*0.43+0*0.28+0*0.87+0*0.6+0*0.3+0*1.79+0*1.44+0*1.3+0*2.57+0*2.09)/$H435</f>
      </c>
      <c r="N435" s="15"/>
      <c r="O435" s="16"/>
      <c r="P435" s="13"/>
      <c r="Q435" s="13"/>
      <c r="R435" s="17"/>
      <c r="S435" s="13"/>
      <c r="T435" s="17"/>
      <c r="U435" s="13"/>
      <c r="V435" s="16"/>
      <c r="W435" s="13"/>
      <c r="X435" s="13"/>
      <c r="Y435" s="14"/>
      <c r="Z435" s="2"/>
      <c r="AA435" s="13">
        <f>H435*I435/100</f>
      </c>
      <c r="AB435" s="13">
        <f>H435*J435/100</f>
      </c>
      <c r="AC435" s="15">
        <f>H435*K435</f>
      </c>
      <c r="AD435" s="15">
        <f>H435*M435</f>
      </c>
      <c r="AE435" s="13">
        <f>H435*L435/100</f>
      </c>
      <c r="AF435" s="13">
        <f>AA435+AB435+AE435</f>
      </c>
      <c r="AG435" s="13">
        <f>I435+J435+L435</f>
      </c>
      <c r="AH435" s="18">
        <f>$H435*I435</f>
      </c>
      <c r="AI435" s="18">
        <f>$H435*J435</f>
      </c>
      <c r="AJ435" s="18">
        <f>$H435*K435</f>
      </c>
      <c r="AK435" s="18">
        <f>$H435*L435</f>
      </c>
      <c r="AL435" s="18">
        <f>$H435*M435</f>
      </c>
      <c r="AM435" s="14"/>
      <c r="AN435" s="14"/>
      <c r="AO435" s="14"/>
    </row>
    <row x14ac:dyDescent="0.25" r="436" customHeight="1" ht="17.25">
      <c r="A436" s="2" t="s">
        <v>909</v>
      </c>
      <c r="B436" s="2" t="s">
        <v>910</v>
      </c>
      <c r="C436" s="2" t="s">
        <v>911</v>
      </c>
      <c r="D436" s="2"/>
      <c r="E436" s="2" t="s">
        <v>52</v>
      </c>
      <c r="F436" s="2" t="s">
        <v>912</v>
      </c>
      <c r="G436" s="2" t="s">
        <v>913</v>
      </c>
      <c r="H436" s="13">
        <f>0.6+8.1</f>
      </c>
      <c r="I436" s="13"/>
      <c r="J436" s="15">
        <f>(0.3*0.6+3*8.1)/$H436</f>
      </c>
      <c r="K436" s="15">
        <f>(2.8*0.6+3.4*8.1)/$H436</f>
      </c>
      <c r="L436" s="13"/>
      <c r="M436" s="13"/>
      <c r="N436" s="15"/>
      <c r="O436" s="15">
        <f>(0.2*0.6+0.2*8.1)/$H436</f>
      </c>
      <c r="P436" s="13"/>
      <c r="Q436" s="13"/>
      <c r="R436" s="17"/>
      <c r="S436" s="17">
        <f>(570*0.6+620*8.1)/$H436</f>
      </c>
      <c r="T436" s="17"/>
      <c r="U436" s="13"/>
      <c r="V436" s="13">
        <f>(0.11*0.6+0.11*8.1)/$H436</f>
      </c>
      <c r="W436" s="13"/>
      <c r="X436" s="15">
        <f>(0.4*0.6+0.5*8.1)/$H436</f>
      </c>
      <c r="Y436" s="13">
        <f>(8.4*0.6+9.4*8.1)/$H436</f>
      </c>
      <c r="Z436" s="2" t="s">
        <v>914</v>
      </c>
      <c r="AA436" s="13">
        <f>H436*I436/100</f>
      </c>
      <c r="AB436" s="13">
        <f>H436*J436/100</f>
      </c>
      <c r="AC436" s="15">
        <f>H436*K436</f>
      </c>
      <c r="AD436" s="15">
        <f>H436*M436</f>
      </c>
      <c r="AE436" s="13">
        <f>H436*L436/100</f>
      </c>
      <c r="AF436" s="13">
        <f>AA436+AB436+AE436</f>
      </c>
      <c r="AG436" s="13">
        <f>I436+J436+L436</f>
      </c>
      <c r="AH436" s="18">
        <f>$H436*I436</f>
      </c>
      <c r="AI436" s="18">
        <f>$H436*J436</f>
      </c>
      <c r="AJ436" s="18">
        <f>$H436*K436</f>
      </c>
      <c r="AK436" s="18">
        <f>$H436*L436</f>
      </c>
      <c r="AL436" s="18">
        <f>$H436*M436</f>
      </c>
      <c r="AM436" s="14"/>
      <c r="AN436" s="14"/>
      <c r="AO436" s="14"/>
    </row>
    <row x14ac:dyDescent="0.25" r="437" customHeight="1" ht="17.25">
      <c r="A437" s="2" t="s">
        <v>915</v>
      </c>
      <c r="B437" s="2" t="s">
        <v>916</v>
      </c>
      <c r="C437" s="2" t="s">
        <v>40</v>
      </c>
      <c r="D437" s="2" t="s">
        <v>64</v>
      </c>
      <c r="E437" s="12" t="s">
        <v>42</v>
      </c>
      <c r="F437" s="2" t="s">
        <v>43</v>
      </c>
      <c r="G437" s="2" t="s">
        <v>46</v>
      </c>
      <c r="H437" s="13">
        <v>14.8</v>
      </c>
      <c r="I437" s="13">
        <v>0.24</v>
      </c>
      <c r="J437" s="13">
        <v>0.51</v>
      </c>
      <c r="K437" s="14"/>
      <c r="L437" s="13">
        <v>4.39</v>
      </c>
      <c r="M437" s="13"/>
      <c r="N437" s="15"/>
      <c r="O437" s="16"/>
      <c r="P437" s="13"/>
      <c r="Q437" s="13"/>
      <c r="R437" s="17"/>
      <c r="S437" s="13"/>
      <c r="T437" s="17"/>
      <c r="U437" s="13"/>
      <c r="V437" s="16"/>
      <c r="W437" s="13"/>
      <c r="X437" s="13"/>
      <c r="Y437" s="14"/>
      <c r="Z437" s="2"/>
      <c r="AA437" s="13">
        <f>H437*I437/100</f>
      </c>
      <c r="AB437" s="13">
        <f>H437*J437/100</f>
      </c>
      <c r="AC437" s="15">
        <f>H437*K437</f>
      </c>
      <c r="AD437" s="15">
        <f>H437*M437</f>
      </c>
      <c r="AE437" s="13">
        <f>H437*L437/100</f>
      </c>
      <c r="AF437" s="13">
        <f>AA437+AB437+AE437</f>
      </c>
      <c r="AG437" s="13">
        <f>I437+J437+L437</f>
      </c>
      <c r="AH437" s="18">
        <f>$H437*I437</f>
      </c>
      <c r="AI437" s="18">
        <f>$H437*J437</f>
      </c>
      <c r="AJ437" s="18">
        <f>$H437*K437</f>
      </c>
      <c r="AK437" s="18">
        <f>$H437*L437</f>
      </c>
      <c r="AL437" s="18">
        <f>$H437*M437</f>
      </c>
      <c r="AM437" s="14"/>
      <c r="AN437" s="14"/>
      <c r="AO437" s="14"/>
    </row>
    <row x14ac:dyDescent="0.25" r="438" customHeight="1" ht="17.25">
      <c r="A438" s="2" t="s">
        <v>917</v>
      </c>
      <c r="B438" s="2" t="s">
        <v>916</v>
      </c>
      <c r="C438" s="2" t="s">
        <v>50</v>
      </c>
      <c r="D438" s="2"/>
      <c r="E438" s="12" t="s">
        <v>42</v>
      </c>
      <c r="F438" s="2" t="s">
        <v>43</v>
      </c>
      <c r="G438" s="2" t="s">
        <v>918</v>
      </c>
      <c r="H438" s="13">
        <v>0.54</v>
      </c>
      <c r="I438" s="13">
        <f>0.39/3</f>
      </c>
      <c r="J438" s="13">
        <f>0.39*(2/3)</f>
      </c>
      <c r="K438" s="14"/>
      <c r="L438" s="13"/>
      <c r="M438" s="13"/>
      <c r="N438" s="15"/>
      <c r="O438" s="16"/>
      <c r="P438" s="13"/>
      <c r="Q438" s="13"/>
      <c r="R438" s="17"/>
      <c r="S438" s="13"/>
      <c r="T438" s="17"/>
      <c r="U438" s="13"/>
      <c r="V438" s="16"/>
      <c r="W438" s="13"/>
      <c r="X438" s="13"/>
      <c r="Y438" s="14"/>
      <c r="Z438" s="2"/>
      <c r="AA438" s="13">
        <f>H438*I438/100</f>
      </c>
      <c r="AB438" s="13">
        <f>H438*J438/100</f>
      </c>
      <c r="AC438" s="15">
        <f>H438*K438</f>
      </c>
      <c r="AD438" s="15">
        <f>H438*M438</f>
      </c>
      <c r="AE438" s="13">
        <f>H438*L438/100</f>
      </c>
      <c r="AF438" s="13">
        <f>AA438+AB438+AE438</f>
      </c>
      <c r="AG438" s="13">
        <f>I438+J438+L438</f>
      </c>
      <c r="AH438" s="18">
        <f>$H438*I438</f>
      </c>
      <c r="AI438" s="18">
        <f>$H438*J438</f>
      </c>
      <c r="AJ438" s="18">
        <f>$H438*K438</f>
      </c>
      <c r="AK438" s="18">
        <f>$H438*L438</f>
      </c>
      <c r="AL438" s="18">
        <f>$H438*M438</f>
      </c>
      <c r="AM438" s="14"/>
      <c r="AN438" s="14"/>
      <c r="AO438" s="14"/>
    </row>
    <row x14ac:dyDescent="0.25" r="439" customHeight="1" ht="17.25">
      <c r="A439" s="2" t="s">
        <v>919</v>
      </c>
      <c r="B439" s="2" t="s">
        <v>916</v>
      </c>
      <c r="C439" s="2" t="s">
        <v>40</v>
      </c>
      <c r="D439" s="2" t="s">
        <v>64</v>
      </c>
      <c r="E439" s="12" t="s">
        <v>42</v>
      </c>
      <c r="F439" s="2" t="s">
        <v>920</v>
      </c>
      <c r="G439" s="2" t="s">
        <v>877</v>
      </c>
      <c r="H439" s="14">
        <v>12</v>
      </c>
      <c r="I439" s="13">
        <v>3.2</v>
      </c>
      <c r="J439" s="13">
        <v>2.4</v>
      </c>
      <c r="K439" s="14">
        <v>43</v>
      </c>
      <c r="L439" s="13"/>
      <c r="M439" s="13"/>
      <c r="N439" s="15"/>
      <c r="O439" s="16"/>
      <c r="P439" s="13"/>
      <c r="Q439" s="13"/>
      <c r="R439" s="17"/>
      <c r="S439" s="13"/>
      <c r="T439" s="17"/>
      <c r="U439" s="13"/>
      <c r="V439" s="16"/>
      <c r="W439" s="13"/>
      <c r="X439" s="13"/>
      <c r="Y439" s="14"/>
      <c r="Z439" s="2"/>
      <c r="AA439" s="13">
        <f>H439*I439/100</f>
      </c>
      <c r="AB439" s="13">
        <f>H439*J439/100</f>
      </c>
      <c r="AC439" s="15">
        <f>H439*K439</f>
      </c>
      <c r="AD439" s="15">
        <f>H439*M439</f>
      </c>
      <c r="AE439" s="13">
        <f>H439*L439/100</f>
      </c>
      <c r="AF439" s="22">
        <f>AA439+AB439+AE439</f>
      </c>
      <c r="AG439" s="13">
        <f>I439+J439+L439</f>
      </c>
      <c r="AH439" s="18">
        <f>$H439*I439</f>
      </c>
      <c r="AI439" s="18">
        <f>$H439*J439</f>
      </c>
      <c r="AJ439" s="18">
        <f>$H439*K439</f>
      </c>
      <c r="AK439" s="18">
        <f>$H439*L439</f>
      </c>
      <c r="AL439" s="18">
        <f>$H439*M439</f>
      </c>
      <c r="AM439" s="14"/>
      <c r="AN439" s="14"/>
      <c r="AO439" s="14"/>
    </row>
    <row x14ac:dyDescent="0.25" r="440" customHeight="1" ht="17.25">
      <c r="A440" s="2" t="s">
        <v>921</v>
      </c>
      <c r="B440" s="2" t="s">
        <v>922</v>
      </c>
      <c r="C440" s="2" t="s">
        <v>40</v>
      </c>
      <c r="D440" s="2" t="s">
        <v>363</v>
      </c>
      <c r="E440" s="12" t="s">
        <v>42</v>
      </c>
      <c r="F440" s="2" t="s">
        <v>923</v>
      </c>
      <c r="G440" s="2" t="s">
        <v>924</v>
      </c>
      <c r="H440" s="16">
        <f>16.929106+9.046352</f>
      </c>
      <c r="I440" s="13"/>
      <c r="J440" s="13">
        <f>(16.76*16.929106+23.32*9.046352)/$H440</f>
      </c>
      <c r="K440" s="14"/>
      <c r="L440" s="13">
        <f>(2.32*16.929106+1.93*9.046352)/$H440</f>
      </c>
      <c r="M440" s="13"/>
      <c r="N440" s="15"/>
      <c r="O440" s="16"/>
      <c r="P440" s="13"/>
      <c r="Q440" s="13"/>
      <c r="R440" s="17"/>
      <c r="S440" s="13"/>
      <c r="T440" s="17"/>
      <c r="U440" s="13"/>
      <c r="V440" s="16"/>
      <c r="W440" s="13"/>
      <c r="X440" s="13"/>
      <c r="Y440" s="14"/>
      <c r="Z440" s="2"/>
      <c r="AA440" s="13">
        <f>H440*I440/100</f>
      </c>
      <c r="AB440" s="13">
        <f>H440*J440/100</f>
      </c>
      <c r="AC440" s="15">
        <f>H440*K440</f>
      </c>
      <c r="AD440" s="15">
        <f>H440*M440</f>
      </c>
      <c r="AE440" s="13">
        <f>H440*L440/100</f>
      </c>
      <c r="AF440" s="13">
        <f>AA440+AB440+AE440</f>
      </c>
      <c r="AG440" s="13">
        <f>I440+J440+L440</f>
      </c>
      <c r="AH440" s="18">
        <f>$H440*I440</f>
      </c>
      <c r="AI440" s="18">
        <f>$H440*J440</f>
      </c>
      <c r="AJ440" s="18">
        <f>$H440*K440</f>
      </c>
      <c r="AK440" s="18">
        <f>$H440*L440</f>
      </c>
      <c r="AL440" s="18">
        <f>$H440*M440</f>
      </c>
      <c r="AM440" s="14"/>
      <c r="AN440" s="14"/>
      <c r="AO440" s="14"/>
    </row>
    <row x14ac:dyDescent="0.25" r="441" customHeight="1" ht="17.25">
      <c r="A441" s="2" t="s">
        <v>925</v>
      </c>
      <c r="B441" s="2" t="s">
        <v>922</v>
      </c>
      <c r="C441" s="2" t="s">
        <v>926</v>
      </c>
      <c r="D441" s="2" t="s">
        <v>363</v>
      </c>
      <c r="E441" s="21" t="s">
        <v>198</v>
      </c>
      <c r="F441" s="2" t="s">
        <v>927</v>
      </c>
      <c r="G441" s="2" t="s">
        <v>928</v>
      </c>
      <c r="H441" s="13">
        <v>5.3</v>
      </c>
      <c r="I441" s="13"/>
      <c r="J441" s="13">
        <v>4.9</v>
      </c>
      <c r="K441" s="14"/>
      <c r="L441" s="13"/>
      <c r="M441" s="13"/>
      <c r="N441" s="15"/>
      <c r="O441" s="16"/>
      <c r="P441" s="13"/>
      <c r="Q441" s="13"/>
      <c r="R441" s="17"/>
      <c r="S441" s="13"/>
      <c r="T441" s="17"/>
      <c r="U441" s="13"/>
      <c r="V441" s="16"/>
      <c r="W441" s="13"/>
      <c r="X441" s="13"/>
      <c r="Y441" s="14"/>
      <c r="Z441" s="2"/>
      <c r="AA441" s="13">
        <f>H441*I441/100</f>
      </c>
      <c r="AB441" s="13">
        <f>H441*J441/100</f>
      </c>
      <c r="AC441" s="15">
        <f>H441*K441</f>
      </c>
      <c r="AD441" s="15">
        <f>H441*M441</f>
      </c>
      <c r="AE441" s="13">
        <f>H441*L441/100</f>
      </c>
      <c r="AF441" s="13">
        <f>AA441+AB441+AE441</f>
      </c>
      <c r="AG441" s="13">
        <f>I441+J441+L441</f>
      </c>
      <c r="AH441" s="18">
        <f>$H441*I441</f>
      </c>
      <c r="AI441" s="18">
        <f>$H441*J441</f>
      </c>
      <c r="AJ441" s="18">
        <f>$H441*K441</f>
      </c>
      <c r="AK441" s="18">
        <f>$H441*L441</f>
      </c>
      <c r="AL441" s="18">
        <f>$H441*M441</f>
      </c>
      <c r="AM441" s="14"/>
      <c r="AN441" s="14"/>
      <c r="AO441" s="14"/>
    </row>
    <row x14ac:dyDescent="0.25" r="442" customHeight="1" ht="17.25">
      <c r="A442" s="2" t="s">
        <v>929</v>
      </c>
      <c r="B442" s="2" t="s">
        <v>930</v>
      </c>
      <c r="C442" s="2" t="s">
        <v>56</v>
      </c>
      <c r="D442" s="2" t="s">
        <v>291</v>
      </c>
      <c r="E442" s="12" t="s">
        <v>42</v>
      </c>
      <c r="F442" s="2" t="s">
        <v>931</v>
      </c>
      <c r="G442" s="2" t="s">
        <v>932</v>
      </c>
      <c r="H442" s="16">
        <f>1.087645+0.272667+0.330095+0.29+0.514832</f>
      </c>
      <c r="I442" s="13"/>
      <c r="J442" s="13">
        <f>(0.77*1.087645+1.67*0.272667+1.45*0.330095+1.49*0.29+0.0289*0.514832)/$H442</f>
      </c>
      <c r="K442" s="13">
        <f>(4.36*1.087645+0*0.272667+0*0.330095+0*0.29+3.09*0.514832)/$H442</f>
      </c>
      <c r="L442" s="13">
        <f>(2.22*1.087645+2*0.272667+1.9*0.330095+1.55*0.29+0.17*0.514832)/$H442</f>
      </c>
      <c r="M442" s="13">
        <f>(0.16*1.087645+0*0.272667+0*0.330095+1.34*0.29+1.32*0.514832)/$H442</f>
      </c>
      <c r="N442" s="15"/>
      <c r="O442" s="16"/>
      <c r="P442" s="13"/>
      <c r="Q442" s="13"/>
      <c r="R442" s="17"/>
      <c r="S442" s="13"/>
      <c r="T442" s="17"/>
      <c r="U442" s="13"/>
      <c r="V442" s="16"/>
      <c r="W442" s="13"/>
      <c r="X442" s="13"/>
      <c r="Y442" s="14"/>
      <c r="Z442" s="2"/>
      <c r="AA442" s="13">
        <f>H442*I442/100</f>
      </c>
      <c r="AB442" s="13">
        <f>H442*J442/100</f>
      </c>
      <c r="AC442" s="15">
        <f>H442*K442</f>
      </c>
      <c r="AD442" s="15">
        <f>H442*M442</f>
      </c>
      <c r="AE442" s="13">
        <f>H442*L442/100</f>
      </c>
      <c r="AF442" s="13">
        <f>AA442+AB442+AE442</f>
      </c>
      <c r="AG442" s="13">
        <f>I442+J442+L442</f>
      </c>
      <c r="AH442" s="18">
        <f>$H442*I442</f>
      </c>
      <c r="AI442" s="18">
        <f>$H442*J442</f>
      </c>
      <c r="AJ442" s="18">
        <f>$H442*K442</f>
      </c>
      <c r="AK442" s="18">
        <f>$H442*L442</f>
      </c>
      <c r="AL442" s="18">
        <f>$H442*M442</f>
      </c>
      <c r="AM442" s="14"/>
      <c r="AN442" s="14"/>
      <c r="AO442" s="14"/>
    </row>
    <row x14ac:dyDescent="0.25" r="443" customHeight="1" ht="17.25">
      <c r="A443" s="2" t="s">
        <v>933</v>
      </c>
      <c r="B443" s="2" t="s">
        <v>930</v>
      </c>
      <c r="C443" s="2" t="s">
        <v>50</v>
      </c>
      <c r="D443" s="2"/>
      <c r="E443" s="2" t="s">
        <v>52</v>
      </c>
      <c r="F443" s="2" t="s">
        <v>931</v>
      </c>
      <c r="G443" s="2" t="s">
        <v>456</v>
      </c>
      <c r="H443" s="16">
        <f>5.628632+1.739214+0.142283</f>
      </c>
      <c r="I443" s="13"/>
      <c r="J443" s="13">
        <f>(1.46*5.628632+1.31*1.739214+1.12*0.142283)/$H443</f>
      </c>
      <c r="K443" s="15">
        <f>(33.3*5.628632+28.7*1.739214+34.6*0.142283)/$H443</f>
      </c>
      <c r="L443" s="13">
        <f>(2.3*5.628632+1.25*1.739214+1.2*0.142283)/$H443</f>
      </c>
      <c r="M443" s="13">
        <f>(0.91*5.628632+0.73*1.739214+0.71*0.142283)/$H443</f>
      </c>
      <c r="N443" s="15"/>
      <c r="O443" s="16"/>
      <c r="P443" s="13"/>
      <c r="Q443" s="13"/>
      <c r="R443" s="17"/>
      <c r="S443" s="13"/>
      <c r="T443" s="17"/>
      <c r="U443" s="13"/>
      <c r="V443" s="16"/>
      <c r="W443" s="13"/>
      <c r="X443" s="13"/>
      <c r="Y443" s="14"/>
      <c r="Z443" s="2"/>
      <c r="AA443" s="13">
        <f>H443*I443/100</f>
      </c>
      <c r="AB443" s="13">
        <f>H443*J443/100</f>
      </c>
      <c r="AC443" s="15">
        <f>H443*K443</f>
      </c>
      <c r="AD443" s="15">
        <f>H443*M443</f>
      </c>
      <c r="AE443" s="13">
        <f>H443*L443/100</f>
      </c>
      <c r="AF443" s="13">
        <f>AA443+AB443+AE443</f>
      </c>
      <c r="AG443" s="13">
        <f>I443+J443+L443</f>
      </c>
      <c r="AH443" s="18">
        <f>$H443*I443</f>
      </c>
      <c r="AI443" s="18">
        <f>$H443*J443</f>
      </c>
      <c r="AJ443" s="18">
        <f>$H443*K443</f>
      </c>
      <c r="AK443" s="18">
        <f>$H443*L443</f>
      </c>
      <c r="AL443" s="18">
        <f>$H443*M443</f>
      </c>
      <c r="AM443" s="14"/>
      <c r="AN443" s="14"/>
      <c r="AO443" s="14"/>
    </row>
    <row x14ac:dyDescent="0.25" r="444" customHeight="1" ht="17.25">
      <c r="A444" s="2" t="s">
        <v>934</v>
      </c>
      <c r="B444" s="2" t="s">
        <v>930</v>
      </c>
      <c r="C444" s="2" t="s">
        <v>50</v>
      </c>
      <c r="D444" s="2"/>
      <c r="E444" s="2" t="s">
        <v>52</v>
      </c>
      <c r="F444" s="2" t="s">
        <v>935</v>
      </c>
      <c r="G444" s="2" t="s">
        <v>776</v>
      </c>
      <c r="H444" s="13">
        <f>1.011+0.439</f>
      </c>
      <c r="I444" s="13"/>
      <c r="J444" s="13">
        <f>(2.57*1.011+4.67*0.439)/$H444</f>
      </c>
      <c r="K444" s="15">
        <f>(49.58*1.011+36.907*0.439)/$H444</f>
      </c>
      <c r="L444" s="13">
        <f>(2.4*1.011+2.558*0.439)/$H444</f>
      </c>
      <c r="M444" s="13">
        <f>(2.81*1.011+1.68*0.439)/$H444</f>
      </c>
      <c r="N444" s="15"/>
      <c r="O444" s="16"/>
      <c r="P444" s="13"/>
      <c r="Q444" s="13"/>
      <c r="R444" s="17"/>
      <c r="S444" s="13"/>
      <c r="T444" s="17"/>
      <c r="U444" s="13"/>
      <c r="V444" s="16"/>
      <c r="W444" s="13"/>
      <c r="X444" s="13"/>
      <c r="Y444" s="14"/>
      <c r="Z444" s="2"/>
      <c r="AA444" s="13">
        <f>H444*I444/100</f>
      </c>
      <c r="AB444" s="13">
        <f>H444*J444/100</f>
      </c>
      <c r="AC444" s="15">
        <f>H444*K444</f>
      </c>
      <c r="AD444" s="15">
        <f>H444*M444</f>
      </c>
      <c r="AE444" s="13">
        <f>H444*L444/100</f>
      </c>
      <c r="AF444" s="13">
        <f>AA444+AB444+AE444</f>
      </c>
      <c r="AG444" s="13">
        <f>I444+J444+L444</f>
      </c>
      <c r="AH444" s="18">
        <f>$H444*I444</f>
      </c>
      <c r="AI444" s="18">
        <f>$H444*J444</f>
      </c>
      <c r="AJ444" s="18">
        <f>$H444*K444</f>
      </c>
      <c r="AK444" s="18">
        <f>$H444*L444</f>
      </c>
      <c r="AL444" s="18">
        <f>$H444*M444</f>
      </c>
      <c r="AM444" s="14"/>
      <c r="AN444" s="14"/>
      <c r="AO444" s="14"/>
    </row>
    <row x14ac:dyDescent="0.25" r="445" customHeight="1" ht="17.25">
      <c r="A445" s="2" t="s">
        <v>936</v>
      </c>
      <c r="B445" s="2" t="s">
        <v>930</v>
      </c>
      <c r="C445" s="2" t="s">
        <v>56</v>
      </c>
      <c r="D445" s="2" t="s">
        <v>937</v>
      </c>
      <c r="E445" s="2" t="s">
        <v>52</v>
      </c>
      <c r="F445" s="2" t="s">
        <v>935</v>
      </c>
      <c r="G445" s="2" t="s">
        <v>633</v>
      </c>
      <c r="H445" s="13">
        <f>27.49+24.42+2.55+3.09</f>
      </c>
      <c r="I445" s="13"/>
      <c r="J445" s="13">
        <f>(0.28*27.49+0.41*24.42+0.16*2.55+0.18*3.09)/$H445</f>
      </c>
      <c r="K445" s="15">
        <f>(3.7*27.49+3.6*24.42+1.5*2.55+2.5*3.09)/$H445</f>
      </c>
      <c r="L445" s="13">
        <f>(0.51*27.49+0.23*24.42+0.21*2.55+0.15*3.09)/$H445</f>
      </c>
      <c r="M445" s="13">
        <f>(1.78*27.49+0.87*24.42+2.87*2.55+1.21*3.09)/$H445</f>
      </c>
      <c r="N445" s="15"/>
      <c r="O445" s="16"/>
      <c r="P445" s="13"/>
      <c r="Q445" s="13"/>
      <c r="R445" s="17"/>
      <c r="S445" s="13"/>
      <c r="T445" s="17"/>
      <c r="U445" s="13"/>
      <c r="V445" s="16"/>
      <c r="W445" s="13"/>
      <c r="X445" s="13"/>
      <c r="Y445" s="14"/>
      <c r="Z445" s="2"/>
      <c r="AA445" s="13">
        <f>H445*I445/100</f>
      </c>
      <c r="AB445" s="13">
        <f>H445*J445/100</f>
      </c>
      <c r="AC445" s="15">
        <f>H445*K445</f>
      </c>
      <c r="AD445" s="15">
        <f>H445*M445</f>
      </c>
      <c r="AE445" s="13">
        <f>H445*L445/100</f>
      </c>
      <c r="AF445" s="13">
        <f>AA445+AB445+AE445</f>
      </c>
      <c r="AG445" s="13">
        <f>I445+J445+L445</f>
      </c>
      <c r="AH445" s="18">
        <f>$H445*I445</f>
      </c>
      <c r="AI445" s="18">
        <f>$H445*J445</f>
      </c>
      <c r="AJ445" s="18">
        <f>$H445*K445</f>
      </c>
      <c r="AK445" s="18">
        <f>$H445*L445</f>
      </c>
      <c r="AL445" s="18">
        <f>$H445*M445</f>
      </c>
      <c r="AM445" s="14"/>
      <c r="AN445" s="14"/>
      <c r="AO445" s="14"/>
    </row>
    <row x14ac:dyDescent="0.25" r="446" customHeight="1" ht="17.25">
      <c r="A446" s="2" t="s">
        <v>938</v>
      </c>
      <c r="B446" s="2" t="s">
        <v>939</v>
      </c>
      <c r="C446" s="2" t="s">
        <v>50</v>
      </c>
      <c r="D446" s="2"/>
      <c r="E446" s="2" t="s">
        <v>52</v>
      </c>
      <c r="F446" s="2" t="s">
        <v>940</v>
      </c>
      <c r="G446" s="2" t="s">
        <v>431</v>
      </c>
      <c r="H446" s="13">
        <f>6.08+3.882</f>
      </c>
      <c r="I446" s="13">
        <f>(0.28*6.08+0.16*3.882)/$H446</f>
      </c>
      <c r="J446" s="13">
        <f>(3.06*6.08+2.19*3.882)/$H446</f>
      </c>
      <c r="K446" s="15">
        <f>(55.81*6.08+42.92*3.882)/$H446</f>
      </c>
      <c r="L446" s="13">
        <f>(2.33*6.08+1.56*3.882)/$H446</f>
      </c>
      <c r="M446" s="13">
        <f>(2.99*6.08+2.03*3.882)/$H446</f>
      </c>
      <c r="N446" s="15"/>
      <c r="O446" s="16"/>
      <c r="P446" s="13"/>
      <c r="Q446" s="13"/>
      <c r="R446" s="17"/>
      <c r="S446" s="13"/>
      <c r="T446" s="17"/>
      <c r="U446" s="13"/>
      <c r="V446" s="16"/>
      <c r="W446" s="13"/>
      <c r="X446" s="13"/>
      <c r="Y446" s="14"/>
      <c r="Z446" s="2"/>
      <c r="AA446" s="13">
        <f>H446*I446/100</f>
      </c>
      <c r="AB446" s="13">
        <f>H446*J446/100</f>
      </c>
      <c r="AC446" s="15">
        <f>H446*K446</f>
      </c>
      <c r="AD446" s="15">
        <f>H446*M446</f>
      </c>
      <c r="AE446" s="13">
        <f>H446*L446/100</f>
      </c>
      <c r="AF446" s="13">
        <f>AA446+AB446+AE446</f>
      </c>
      <c r="AG446" s="13">
        <f>I446+J446+L446</f>
      </c>
      <c r="AH446" s="18">
        <f>$H446*I446</f>
      </c>
      <c r="AI446" s="18">
        <f>$H446*J446</f>
      </c>
      <c r="AJ446" s="18">
        <f>$H446*K446</f>
      </c>
      <c r="AK446" s="18">
        <f>$H446*L446</f>
      </c>
      <c r="AL446" s="18">
        <f>$H446*M446</f>
      </c>
      <c r="AM446" s="14"/>
      <c r="AN446" s="14"/>
      <c r="AO446" s="14"/>
    </row>
    <row x14ac:dyDescent="0.25" r="447" customHeight="1" ht="17.25">
      <c r="A447" s="2" t="s">
        <v>941</v>
      </c>
      <c r="B447" s="2" t="s">
        <v>942</v>
      </c>
      <c r="C447" s="2" t="s">
        <v>134</v>
      </c>
      <c r="D447" s="2"/>
      <c r="E447" s="2" t="s">
        <v>52</v>
      </c>
      <c r="F447" s="2" t="s">
        <v>943</v>
      </c>
      <c r="G447" s="2" t="s">
        <v>617</v>
      </c>
      <c r="H447" s="13">
        <v>2.9</v>
      </c>
      <c r="I447" s="13"/>
      <c r="J447" s="13">
        <v>1.15</v>
      </c>
      <c r="K447" s="15">
        <v>29.3</v>
      </c>
      <c r="L447" s="13">
        <v>0.77</v>
      </c>
      <c r="M447" s="13">
        <v>1.75</v>
      </c>
      <c r="N447" s="15"/>
      <c r="O447" s="16"/>
      <c r="P447" s="13"/>
      <c r="Q447" s="13"/>
      <c r="R447" s="17"/>
      <c r="S447" s="13"/>
      <c r="T447" s="17"/>
      <c r="U447" s="13"/>
      <c r="V447" s="16"/>
      <c r="W447" s="13"/>
      <c r="X447" s="13"/>
      <c r="Y447" s="14"/>
      <c r="Z447" s="2"/>
      <c r="AA447" s="13">
        <f>H447*I447/100</f>
      </c>
      <c r="AB447" s="13">
        <f>H447*J447/100</f>
      </c>
      <c r="AC447" s="15">
        <f>H447*K447</f>
      </c>
      <c r="AD447" s="15">
        <f>H447*M447</f>
      </c>
      <c r="AE447" s="13">
        <f>H447*L447/100</f>
      </c>
      <c r="AF447" s="13">
        <f>AA447+AB447+AE447</f>
      </c>
      <c r="AG447" s="13">
        <f>I447+J447+L447</f>
      </c>
      <c r="AH447" s="18">
        <f>$H447*I447</f>
      </c>
      <c r="AI447" s="18">
        <f>$H447*J447</f>
      </c>
      <c r="AJ447" s="18">
        <f>$H447*K447</f>
      </c>
      <c r="AK447" s="18">
        <f>$H447*L447</f>
      </c>
      <c r="AL447" s="18">
        <f>$H447*M447</f>
      </c>
      <c r="AM447" s="14"/>
      <c r="AN447" s="14"/>
      <c r="AO447" s="14"/>
    </row>
    <row x14ac:dyDescent="0.25" r="448" customHeight="1" ht="17.25">
      <c r="A448" s="2" t="s">
        <v>944</v>
      </c>
      <c r="B448" s="2" t="s">
        <v>942</v>
      </c>
      <c r="C448" s="2" t="s">
        <v>40</v>
      </c>
      <c r="D448" s="2" t="s">
        <v>41</v>
      </c>
      <c r="E448" s="12" t="s">
        <v>42</v>
      </c>
      <c r="F448" s="2" t="s">
        <v>43</v>
      </c>
      <c r="G448" s="2" t="s">
        <v>46</v>
      </c>
      <c r="H448" s="13">
        <v>1.5</v>
      </c>
      <c r="I448" s="13">
        <v>1.3</v>
      </c>
      <c r="J448" s="14">
        <v>11</v>
      </c>
      <c r="K448" s="14"/>
      <c r="L448" s="13"/>
      <c r="M448" s="13"/>
      <c r="N448" s="15"/>
      <c r="O448" s="16"/>
      <c r="P448" s="13"/>
      <c r="Q448" s="13"/>
      <c r="R448" s="17"/>
      <c r="S448" s="13"/>
      <c r="T448" s="17"/>
      <c r="U448" s="13"/>
      <c r="V448" s="16"/>
      <c r="W448" s="13"/>
      <c r="X448" s="13"/>
      <c r="Y448" s="14"/>
      <c r="Z448" s="2"/>
      <c r="AA448" s="13">
        <f>H448*I448/100</f>
      </c>
      <c r="AB448" s="13">
        <f>H448*J448/100</f>
      </c>
      <c r="AC448" s="15">
        <f>H448*K448</f>
      </c>
      <c r="AD448" s="15">
        <f>H448*M448</f>
      </c>
      <c r="AE448" s="13">
        <f>H448*L448/100</f>
      </c>
      <c r="AF448" s="13">
        <f>AA448+AB448+AE448</f>
      </c>
      <c r="AG448" s="13">
        <f>I448+J448+L448</f>
      </c>
      <c r="AH448" s="18">
        <f>$H448*I448</f>
      </c>
      <c r="AI448" s="18">
        <f>$H448*J448</f>
      </c>
      <c r="AJ448" s="18">
        <f>$H448*K448</f>
      </c>
      <c r="AK448" s="18">
        <f>$H448*L448</f>
      </c>
      <c r="AL448" s="18">
        <f>$H448*M448</f>
      </c>
      <c r="AM448" s="14"/>
      <c r="AN448" s="14"/>
      <c r="AO448" s="14"/>
    </row>
    <row x14ac:dyDescent="0.25" r="449" customHeight="1" ht="17.25">
      <c r="A449" s="2" t="s">
        <v>945</v>
      </c>
      <c r="B449" s="2" t="s">
        <v>946</v>
      </c>
      <c r="C449" s="2" t="s">
        <v>50</v>
      </c>
      <c r="D449" s="2"/>
      <c r="E449" s="2" t="s">
        <v>52</v>
      </c>
      <c r="F449" s="2" t="s">
        <v>947</v>
      </c>
      <c r="G449" s="2" t="s">
        <v>776</v>
      </c>
      <c r="H449" s="13">
        <v>1.841</v>
      </c>
      <c r="I449" s="13"/>
      <c r="J449" s="13">
        <v>10.05</v>
      </c>
      <c r="K449" s="14">
        <v>115</v>
      </c>
      <c r="L449" s="13">
        <v>1.78</v>
      </c>
      <c r="M449" s="13">
        <v>3.31</v>
      </c>
      <c r="N449" s="15"/>
      <c r="O449" s="16"/>
      <c r="P449" s="13"/>
      <c r="Q449" s="13"/>
      <c r="R449" s="17"/>
      <c r="S449" s="13"/>
      <c r="T449" s="17"/>
      <c r="U449" s="13"/>
      <c r="V449" s="16"/>
      <c r="W449" s="13"/>
      <c r="X449" s="13"/>
      <c r="Y449" s="14"/>
      <c r="Z449" s="2"/>
      <c r="AA449" s="13">
        <f>H449*I449/100</f>
      </c>
      <c r="AB449" s="13">
        <f>H449*J449/100</f>
      </c>
      <c r="AC449" s="15">
        <f>H449*K449</f>
      </c>
      <c r="AD449" s="15">
        <f>H449*M449</f>
      </c>
      <c r="AE449" s="13">
        <f>H449*L449/100</f>
      </c>
      <c r="AF449" s="13">
        <f>AA449+AB449+AE449</f>
      </c>
      <c r="AG449" s="13">
        <f>I449+J449+L449</f>
      </c>
      <c r="AH449" s="18">
        <f>$H449*I449</f>
      </c>
      <c r="AI449" s="18">
        <f>$H449*J449</f>
      </c>
      <c r="AJ449" s="18">
        <f>$H449*K449</f>
      </c>
      <c r="AK449" s="18">
        <f>$H449*L449</f>
      </c>
      <c r="AL449" s="18">
        <f>$H449*M449</f>
      </c>
      <c r="AM449" s="14"/>
      <c r="AN449" s="14"/>
      <c r="AO449" s="14"/>
    </row>
    <row x14ac:dyDescent="0.25" r="450" customHeight="1" ht="17.25">
      <c r="A450" s="2" t="s">
        <v>948</v>
      </c>
      <c r="B450" s="2" t="s">
        <v>946</v>
      </c>
      <c r="C450" s="2" t="s">
        <v>50</v>
      </c>
      <c r="D450" s="2"/>
      <c r="E450" s="2" t="s">
        <v>52</v>
      </c>
      <c r="F450" s="2" t="s">
        <v>947</v>
      </c>
      <c r="G450" s="2" t="s">
        <v>776</v>
      </c>
      <c r="H450" s="13">
        <f>0.371+0.72+1.389+0.774+0.058+0.239+0.138+0.144+0.154+0.006</f>
      </c>
      <c r="I450" s="13"/>
      <c r="J450" s="13">
        <f>(0.04*0.371+0.05*0.72+0.07*1.389+3.92*0.774+3.05*0.058+0.1*0.239+0*0.138+0.1*0.144+3.6*0.154+3.3*0.006)/$H450</f>
      </c>
      <c r="K450" s="17">
        <f>(6*0.371+27*0.72+33*1.389+29*0.774+22*0.058+5*0.239+22*0.138+31*0.144+41*0.154+21*0.006)/$H450</f>
      </c>
      <c r="L450" s="13">
        <f>(0.06*0.371+0.08*0.72+5.15*1.389+2.34*0.774+0.36*0.058+0.1*0.239+0.1*0.138+2.7*0.144+1.2*0.154+0.4*0.006)/$H450</f>
      </c>
      <c r="M450" s="13">
        <f>(1.47*0.371+2.85*0.72+1.4*1.389+1.3*0.774+1.24*0.058+1.1*0.239+1.4*0.138+0.6*0.144+2.6*0.154+1.1*0.006)/$H450</f>
      </c>
      <c r="N450" s="15"/>
      <c r="O450" s="16"/>
      <c r="P450" s="13"/>
      <c r="Q450" s="13"/>
      <c r="R450" s="17"/>
      <c r="S450" s="13"/>
      <c r="T450" s="17"/>
      <c r="U450" s="13"/>
      <c r="V450" s="16"/>
      <c r="W450" s="13"/>
      <c r="X450" s="13"/>
      <c r="Y450" s="14"/>
      <c r="Z450" s="2"/>
      <c r="AA450" s="13">
        <f>H450*I450/100</f>
      </c>
      <c r="AB450" s="13">
        <f>H450*J450/100</f>
      </c>
      <c r="AC450" s="15">
        <f>H450*K450</f>
      </c>
      <c r="AD450" s="15">
        <f>H450*M450</f>
      </c>
      <c r="AE450" s="13">
        <f>H450*L450/100</f>
      </c>
      <c r="AF450" s="13">
        <f>AA450+AB450+AE450</f>
      </c>
      <c r="AG450" s="13">
        <f>I450+J450+L450</f>
      </c>
      <c r="AH450" s="18">
        <f>$H450*I450</f>
      </c>
      <c r="AI450" s="18">
        <f>$H450*J450</f>
      </c>
      <c r="AJ450" s="18">
        <f>$H450*K450</f>
      </c>
      <c r="AK450" s="18">
        <f>$H450*L450</f>
      </c>
      <c r="AL450" s="18">
        <f>$H450*M450</f>
      </c>
      <c r="AM450" s="14"/>
      <c r="AN450" s="14"/>
      <c r="AO450" s="14"/>
    </row>
    <row x14ac:dyDescent="0.25" r="451" customHeight="1" ht="17.25">
      <c r="A451" s="2" t="s">
        <v>949</v>
      </c>
      <c r="B451" s="2" t="s">
        <v>946</v>
      </c>
      <c r="C451" s="2" t="s">
        <v>50</v>
      </c>
      <c r="D451" s="2"/>
      <c r="E451" s="2" t="s">
        <v>52</v>
      </c>
      <c r="F451" s="2" t="s">
        <v>947</v>
      </c>
      <c r="G451" s="2" t="s">
        <v>776</v>
      </c>
      <c r="H451" s="13">
        <f>1.74+1.64+49.8+16.8+13.28+1.77</f>
      </c>
      <c r="I451" s="13"/>
      <c r="J451" s="13">
        <f>(0.04*1.74+0.38*1.64+0.93*49.8+2.8*16.8+0.89*13.28+1.94*1.77)/$H451</f>
      </c>
      <c r="K451" s="15">
        <f>(4.3*1.74+12.2*1.64+7.7*49.8+9.9*16.8+10*13.28+11*1.77)/$H451</f>
      </c>
      <c r="L451" s="13">
        <f>(0.07*1.74+0.94*1.64+0.83*49.8+0.14*16.8+0.87*13.28+0.2*1.77)/$H451</f>
      </c>
      <c r="M451" s="13">
        <f>(1.06*1.74+0.17*1.64+0.17*49.8+0.31*16.8+0.25*13.28+0.39*1.77)/$H451</f>
      </c>
      <c r="N451" s="15"/>
      <c r="O451" s="16"/>
      <c r="P451" s="13"/>
      <c r="Q451" s="13"/>
      <c r="R451" s="17"/>
      <c r="S451" s="13"/>
      <c r="T451" s="17"/>
      <c r="U451" s="13"/>
      <c r="V451" s="16"/>
      <c r="W451" s="13"/>
      <c r="X451" s="13"/>
      <c r="Y451" s="14"/>
      <c r="Z451" s="2"/>
      <c r="AA451" s="13">
        <f>H451*I451/100</f>
      </c>
      <c r="AB451" s="13">
        <f>H451*J451/100</f>
      </c>
      <c r="AC451" s="15">
        <f>H451*K451</f>
      </c>
      <c r="AD451" s="15">
        <f>H451*M451</f>
      </c>
      <c r="AE451" s="13">
        <f>H451*L451/100</f>
      </c>
      <c r="AF451" s="13">
        <f>AA451+AB451+AE451</f>
      </c>
      <c r="AG451" s="13">
        <f>I451+J451+L451</f>
      </c>
      <c r="AH451" s="18">
        <f>$H451*I451</f>
      </c>
      <c r="AI451" s="18">
        <f>$H451*J451</f>
      </c>
      <c r="AJ451" s="18">
        <f>$H451*K451</f>
      </c>
      <c r="AK451" s="18">
        <f>$H451*L451</f>
      </c>
      <c r="AL451" s="18">
        <f>$H451*M451</f>
      </c>
      <c r="AM451" s="14"/>
      <c r="AN451" s="14"/>
      <c r="AO451" s="14"/>
    </row>
    <row x14ac:dyDescent="0.25" r="452" customHeight="1" ht="17.25">
      <c r="A452" s="2" t="s">
        <v>950</v>
      </c>
      <c r="B452" s="2" t="s">
        <v>946</v>
      </c>
      <c r="C452" s="2" t="s">
        <v>50</v>
      </c>
      <c r="D452" s="2"/>
      <c r="E452" s="2" t="s">
        <v>52</v>
      </c>
      <c r="F452" s="2" t="s">
        <v>951</v>
      </c>
      <c r="G452" s="2" t="s">
        <v>73</v>
      </c>
      <c r="H452" s="13">
        <f>0.41+7.46+21.07+0.03+0.01+1.3</f>
      </c>
      <c r="I452" s="13"/>
      <c r="J452" s="13">
        <f>(0*0.41+0*7.46+5.87*21.07+0*0.03+0*0.01+4.5*1.3)/$H452</f>
      </c>
      <c r="K452" s="17">
        <f>(21*0.41+27*7.46+47*21.07+39*0.03+10*0.01+36*1.3)/$H452</f>
      </c>
      <c r="L452" s="13">
        <f>(0*0.41+3.68*7.46+1.05*21.07+0*0.03+7.23*0.01+0.8*1.3)/$H452</f>
      </c>
      <c r="M452" s="15">
        <f>(6.8*0.41+0.6*7.46+0.7*21.07+7.3*0.03+0.1*0.01+0.5*1.3)/$H452</f>
      </c>
      <c r="N452" s="15"/>
      <c r="O452" s="16"/>
      <c r="P452" s="13"/>
      <c r="Q452" s="13"/>
      <c r="R452" s="17"/>
      <c r="S452" s="13"/>
      <c r="T452" s="17"/>
      <c r="U452" s="13"/>
      <c r="V452" s="16"/>
      <c r="W452" s="13"/>
      <c r="X452" s="13"/>
      <c r="Y452" s="14"/>
      <c r="Z452" s="2"/>
      <c r="AA452" s="13">
        <f>H452*I452/100</f>
      </c>
      <c r="AB452" s="13">
        <f>H452*J452/100</f>
      </c>
      <c r="AC452" s="15">
        <f>H452*K452</f>
      </c>
      <c r="AD452" s="15">
        <f>H452*M452</f>
      </c>
      <c r="AE452" s="13">
        <f>H452*L452/100</f>
      </c>
      <c r="AF452" s="13">
        <f>AA452+AB452+AE452</f>
      </c>
      <c r="AG452" s="13">
        <f>I452+J452+L452</f>
      </c>
      <c r="AH452" s="18">
        <f>$H452*I452</f>
      </c>
      <c r="AI452" s="18">
        <f>$H452*J452</f>
      </c>
      <c r="AJ452" s="18">
        <f>$H452*K452</f>
      </c>
      <c r="AK452" s="18">
        <f>$H452*L452</f>
      </c>
      <c r="AL452" s="18">
        <f>$H452*M452</f>
      </c>
      <c r="AM452" s="14"/>
      <c r="AN452" s="14"/>
      <c r="AO452" s="14"/>
    </row>
    <row x14ac:dyDescent="0.25" r="453" customHeight="1" ht="17.25">
      <c r="A453" s="2" t="s">
        <v>952</v>
      </c>
      <c r="B453" s="2" t="s">
        <v>946</v>
      </c>
      <c r="C453" s="2" t="s">
        <v>50</v>
      </c>
      <c r="D453" s="2"/>
      <c r="E453" s="2" t="s">
        <v>52</v>
      </c>
      <c r="F453" s="2" t="s">
        <v>951</v>
      </c>
      <c r="G453" s="2" t="s">
        <v>73</v>
      </c>
      <c r="H453" s="13">
        <f>6.86+0.02+0.002</f>
      </c>
      <c r="I453" s="13"/>
      <c r="J453" s="13">
        <f>(1.86*6.86+0*0.02+0.2*0.002)/$H453</f>
      </c>
      <c r="K453" s="17">
        <f>(10*6.86+17*0.02+8*0.002)/$H453</f>
      </c>
      <c r="L453" s="13">
        <f>(1.14*6.86+0*0.02+0.9*0.002)/$H453</f>
      </c>
      <c r="M453" s="15">
        <f>(0.2*6.86+1.5*0.02+0.2*0.002)/$H453</f>
      </c>
      <c r="N453" s="15"/>
      <c r="O453" s="16"/>
      <c r="P453" s="13"/>
      <c r="Q453" s="13"/>
      <c r="R453" s="17"/>
      <c r="S453" s="13"/>
      <c r="T453" s="17"/>
      <c r="U453" s="13"/>
      <c r="V453" s="16"/>
      <c r="W453" s="13"/>
      <c r="X453" s="13"/>
      <c r="Y453" s="14"/>
      <c r="Z453" s="2"/>
      <c r="AA453" s="13">
        <f>H453*I453/100</f>
      </c>
      <c r="AB453" s="13">
        <f>H453*J453/100</f>
      </c>
      <c r="AC453" s="15">
        <f>H453*K453</f>
      </c>
      <c r="AD453" s="15">
        <f>H453*M453</f>
      </c>
      <c r="AE453" s="13">
        <f>H453*L453/100</f>
      </c>
      <c r="AF453" s="13">
        <f>AA453+AB453+AE453</f>
      </c>
      <c r="AG453" s="13">
        <f>I453+J453+L453</f>
      </c>
      <c r="AH453" s="18">
        <f>$H453*I453</f>
      </c>
      <c r="AI453" s="18">
        <f>$H453*J453</f>
      </c>
      <c r="AJ453" s="18">
        <f>$H453*K453</f>
      </c>
      <c r="AK453" s="18">
        <f>$H453*L453</f>
      </c>
      <c r="AL453" s="18">
        <f>$H453*M453</f>
      </c>
      <c r="AM453" s="14"/>
      <c r="AN453" s="14"/>
      <c r="AO453" s="14"/>
    </row>
    <row x14ac:dyDescent="0.25" r="454" customHeight="1" ht="17.25">
      <c r="A454" s="2" t="s">
        <v>953</v>
      </c>
      <c r="B454" s="2" t="s">
        <v>946</v>
      </c>
      <c r="C454" s="2" t="s">
        <v>50</v>
      </c>
      <c r="D454" s="2"/>
      <c r="E454" s="2" t="s">
        <v>52</v>
      </c>
      <c r="F454" s="2" t="s">
        <v>951</v>
      </c>
      <c r="G454" s="2" t="s">
        <v>73</v>
      </c>
      <c r="H454" s="13">
        <f>0.07+1.8+0.02+0.35</f>
      </c>
      <c r="I454" s="13"/>
      <c r="J454" s="13">
        <f>(0*0.07+3.91*1.8+0*0.02+4.1*0.35)/$H454</f>
      </c>
      <c r="K454" s="17">
        <f>(14*0.07+23*1.8+8*0.02+32*0.35)/$H454</f>
      </c>
      <c r="L454" s="13">
        <f>(0*0.07+0.65*1.8+0*0.02+0.75*0.35)/$H454</f>
      </c>
      <c r="M454" s="15">
        <f>(5.5*0.07+0.6*1.8+5.9*0.02+0.8*0.35)/$H454</f>
      </c>
      <c r="N454" s="15"/>
      <c r="O454" s="16"/>
      <c r="P454" s="13"/>
      <c r="Q454" s="13"/>
      <c r="R454" s="17"/>
      <c r="S454" s="13"/>
      <c r="T454" s="17"/>
      <c r="U454" s="13"/>
      <c r="V454" s="16"/>
      <c r="W454" s="13"/>
      <c r="X454" s="13"/>
      <c r="Y454" s="14"/>
      <c r="Z454" s="2"/>
      <c r="AA454" s="13">
        <f>H454*I454/100</f>
      </c>
      <c r="AB454" s="13">
        <f>H454*J454/100</f>
      </c>
      <c r="AC454" s="15">
        <f>H454*K454</f>
      </c>
      <c r="AD454" s="15">
        <f>H454*M454</f>
      </c>
      <c r="AE454" s="13">
        <f>H454*L454/100</f>
      </c>
      <c r="AF454" s="13">
        <f>AA454+AB454+AE454</f>
      </c>
      <c r="AG454" s="13">
        <f>I454+J454+L454</f>
      </c>
      <c r="AH454" s="18">
        <f>$H454*I454</f>
      </c>
      <c r="AI454" s="18">
        <f>$H454*J454</f>
      </c>
      <c r="AJ454" s="18">
        <f>$H454*K454</f>
      </c>
      <c r="AK454" s="18">
        <f>$H454*L454</f>
      </c>
      <c r="AL454" s="18">
        <f>$H454*M454</f>
      </c>
      <c r="AM454" s="14"/>
      <c r="AN454" s="14"/>
      <c r="AO454" s="14"/>
    </row>
    <row x14ac:dyDescent="0.25" r="455" customHeight="1" ht="17.25">
      <c r="A455" s="2" t="s">
        <v>954</v>
      </c>
      <c r="B455" s="2" t="s">
        <v>946</v>
      </c>
      <c r="C455" s="2" t="s">
        <v>50</v>
      </c>
      <c r="D455" s="2"/>
      <c r="E455" s="2" t="s">
        <v>52</v>
      </c>
      <c r="F455" s="2" t="s">
        <v>951</v>
      </c>
      <c r="G455" s="2" t="s">
        <v>73</v>
      </c>
      <c r="H455" s="13">
        <f>1.02+2.53+0.5+0.1+0.1</f>
      </c>
      <c r="I455" s="13"/>
      <c r="J455" s="13">
        <f>(0*1.02+1.08*2.53+0*0.5+0*0.1+0.9*0.1)/$H455</f>
      </c>
      <c r="K455" s="17">
        <f>(10*1.02+13*2.53+18*0.5+19*0.1+15*0.1)/$H455</f>
      </c>
      <c r="L455" s="13">
        <f>(1.47*1.02+1.04*2.53+0*0.5+0.8*0.1+0.9*0.1)/$H455</f>
      </c>
      <c r="M455" s="13">
        <f>(0.2*1.02+0.3*2.53+3.7*0.5+3.7*0.1+2.9*0.1)/$H455</f>
      </c>
      <c r="N455" s="15"/>
      <c r="O455" s="16"/>
      <c r="P455" s="13"/>
      <c r="Q455" s="13"/>
      <c r="R455" s="17"/>
      <c r="S455" s="13"/>
      <c r="T455" s="17"/>
      <c r="U455" s="13"/>
      <c r="V455" s="16"/>
      <c r="W455" s="13"/>
      <c r="X455" s="13"/>
      <c r="Y455" s="14"/>
      <c r="Z455" s="2"/>
      <c r="AA455" s="13">
        <f>H455*I455/100</f>
      </c>
      <c r="AB455" s="13">
        <f>H455*J455/100</f>
      </c>
      <c r="AC455" s="15">
        <f>H455*K455</f>
      </c>
      <c r="AD455" s="15">
        <f>H455*M455</f>
      </c>
      <c r="AE455" s="13">
        <f>H455*L455/100</f>
      </c>
      <c r="AF455" s="13">
        <f>AA455+AB455+AE455</f>
      </c>
      <c r="AG455" s="13">
        <f>I455+J455+L455</f>
      </c>
      <c r="AH455" s="18">
        <f>$H455*I455</f>
      </c>
      <c r="AI455" s="18">
        <f>$H455*J455</f>
      </c>
      <c r="AJ455" s="18">
        <f>$H455*K455</f>
      </c>
      <c r="AK455" s="18">
        <f>$H455*L455</f>
      </c>
      <c r="AL455" s="18">
        <f>$H455*M455</f>
      </c>
      <c r="AM455" s="14"/>
      <c r="AN455" s="14"/>
      <c r="AO455" s="14"/>
    </row>
    <row x14ac:dyDescent="0.25" r="456" customHeight="1" ht="17.25">
      <c r="A456" s="2" t="s">
        <v>955</v>
      </c>
      <c r="B456" s="2" t="s">
        <v>956</v>
      </c>
      <c r="C456" s="2" t="s">
        <v>50</v>
      </c>
      <c r="D456" s="2"/>
      <c r="E456" s="2" t="s">
        <v>52</v>
      </c>
      <c r="F456" s="2" t="s">
        <v>957</v>
      </c>
      <c r="G456" s="2" t="s">
        <v>108</v>
      </c>
      <c r="H456" s="13">
        <f>1.03+1.23+0.9</f>
      </c>
      <c r="I456" s="13"/>
      <c r="J456" s="13">
        <f>(0.06*1.03+0.07*1.23+0.1*0.9)/$H456</f>
      </c>
      <c r="K456" s="14"/>
      <c r="L456" s="13">
        <f>(0.47*1.03+0.3*1.23+0.3*0.9)/$H456</f>
      </c>
      <c r="M456" s="13"/>
      <c r="N456" s="15"/>
      <c r="O456" s="13">
        <f>(0.13*1.03+0.11*1.23+0.1*0.9)/$H456</f>
      </c>
      <c r="P456" s="13">
        <f>(0.47*1.03+0.42*1.23+0.4*0.9)/$H456</f>
      </c>
      <c r="Q456" s="13"/>
      <c r="R456" s="17"/>
      <c r="S456" s="13"/>
      <c r="T456" s="17"/>
      <c r="U456" s="13"/>
      <c r="V456" s="16"/>
      <c r="W456" s="13"/>
      <c r="X456" s="13"/>
      <c r="Y456" s="14"/>
      <c r="Z456" s="2"/>
      <c r="AA456" s="13">
        <f>H456*I456/100</f>
      </c>
      <c r="AB456" s="13">
        <f>H456*J456/100</f>
      </c>
      <c r="AC456" s="15">
        <f>H456*K456</f>
      </c>
      <c r="AD456" s="15">
        <f>H456*M456</f>
      </c>
      <c r="AE456" s="13">
        <f>H456*L456/100</f>
      </c>
      <c r="AF456" s="13">
        <f>AA456+AB456+AE456</f>
      </c>
      <c r="AG456" s="13">
        <f>I456+J456+L456</f>
      </c>
      <c r="AH456" s="18">
        <f>$H456*I456</f>
      </c>
      <c r="AI456" s="18">
        <f>$H456*J456</f>
      </c>
      <c r="AJ456" s="18">
        <f>$H456*K456</f>
      </c>
      <c r="AK456" s="18">
        <f>$H456*L456</f>
      </c>
      <c r="AL456" s="18">
        <f>$H456*M456</f>
      </c>
      <c r="AM456" s="14"/>
      <c r="AN456" s="14"/>
      <c r="AO456" s="14"/>
    </row>
    <row x14ac:dyDescent="0.25" r="457" customHeight="1" ht="17.25">
      <c r="A457" s="2" t="s">
        <v>958</v>
      </c>
      <c r="B457" s="2" t="s">
        <v>956</v>
      </c>
      <c r="C457" s="2" t="s">
        <v>370</v>
      </c>
      <c r="D457" s="2" t="s">
        <v>368</v>
      </c>
      <c r="E457" s="2" t="s">
        <v>52</v>
      </c>
      <c r="F457" s="2" t="s">
        <v>959</v>
      </c>
      <c r="G457" s="2" t="s">
        <v>617</v>
      </c>
      <c r="H457" s="13">
        <v>34.4</v>
      </c>
      <c r="I457" s="13"/>
      <c r="J457" s="13">
        <v>0.38</v>
      </c>
      <c r="K457" s="14"/>
      <c r="L457" s="13">
        <v>0.1</v>
      </c>
      <c r="M457" s="13"/>
      <c r="N457" s="15"/>
      <c r="O457" s="13">
        <v>0.19</v>
      </c>
      <c r="P457" s="13"/>
      <c r="Q457" s="13"/>
      <c r="R457" s="17"/>
      <c r="S457" s="13"/>
      <c r="T457" s="17"/>
      <c r="U457" s="13"/>
      <c r="V457" s="16"/>
      <c r="W457" s="13"/>
      <c r="X457" s="13"/>
      <c r="Y457" s="14"/>
      <c r="Z457" s="2"/>
      <c r="AA457" s="13">
        <f>H457*I457/100</f>
      </c>
      <c r="AB457" s="13">
        <f>H457*J457/100</f>
      </c>
      <c r="AC457" s="15">
        <f>H457*K457</f>
      </c>
      <c r="AD457" s="15">
        <f>H457*M457</f>
      </c>
      <c r="AE457" s="13">
        <f>H457*L457/100</f>
      </c>
      <c r="AF457" s="13">
        <f>AA457+AB457+AE457</f>
      </c>
      <c r="AG457" s="13">
        <f>I457+J457+L457</f>
      </c>
      <c r="AH457" s="18">
        <f>$H457*I457</f>
      </c>
      <c r="AI457" s="18">
        <f>$H457*J457</f>
      </c>
      <c r="AJ457" s="18">
        <f>$H457*K457</f>
      </c>
      <c r="AK457" s="18">
        <f>$H457*L457</f>
      </c>
      <c r="AL457" s="18">
        <f>$H457*M457</f>
      </c>
      <c r="AM457" s="14"/>
      <c r="AN457" s="14"/>
      <c r="AO457" s="14"/>
    </row>
    <row x14ac:dyDescent="0.25" r="458" customHeight="1" ht="17.25">
      <c r="A458" s="2" t="s">
        <v>960</v>
      </c>
      <c r="B458" s="2" t="s">
        <v>956</v>
      </c>
      <c r="C458" s="2" t="s">
        <v>50</v>
      </c>
      <c r="D458" s="2"/>
      <c r="E458" s="12" t="s">
        <v>42</v>
      </c>
      <c r="F458" s="2" t="s">
        <v>43</v>
      </c>
      <c r="G458" s="2" t="s">
        <v>961</v>
      </c>
      <c r="H458" s="13">
        <v>0.4</v>
      </c>
      <c r="I458" s="13"/>
      <c r="J458" s="13">
        <v>0.1</v>
      </c>
      <c r="K458" s="14"/>
      <c r="L458" s="13">
        <v>0.44</v>
      </c>
      <c r="M458" s="13"/>
      <c r="N458" s="15"/>
      <c r="O458" s="13">
        <v>0.18</v>
      </c>
      <c r="P458" s="13">
        <v>0.07</v>
      </c>
      <c r="Q458" s="13"/>
      <c r="R458" s="17"/>
      <c r="S458" s="13"/>
      <c r="T458" s="17"/>
      <c r="U458" s="13"/>
      <c r="V458" s="16"/>
      <c r="W458" s="13"/>
      <c r="X458" s="13"/>
      <c r="Y458" s="14"/>
      <c r="Z458" s="2"/>
      <c r="AA458" s="13">
        <f>H458*I458/100</f>
      </c>
      <c r="AB458" s="13">
        <f>H458*J458/100</f>
      </c>
      <c r="AC458" s="15">
        <f>H458*K458</f>
      </c>
      <c r="AD458" s="15">
        <f>H458*M458</f>
      </c>
      <c r="AE458" s="13">
        <f>H458*L458/100</f>
      </c>
      <c r="AF458" s="13">
        <f>AA458+AB458+AE458</f>
      </c>
      <c r="AG458" s="13">
        <f>I458+J458+L458</f>
      </c>
      <c r="AH458" s="18">
        <f>$H458*I458</f>
      </c>
      <c r="AI458" s="18">
        <f>$H458*J458</f>
      </c>
      <c r="AJ458" s="18">
        <f>$H458*K458</f>
      </c>
      <c r="AK458" s="18">
        <f>$H458*L458</f>
      </c>
      <c r="AL458" s="18">
        <f>$H458*M458</f>
      </c>
      <c r="AM458" s="14"/>
      <c r="AN458" s="14"/>
      <c r="AO458" s="14"/>
    </row>
    <row x14ac:dyDescent="0.25" r="459" customHeight="1" ht="17.25">
      <c r="A459" s="2" t="s">
        <v>962</v>
      </c>
      <c r="B459" s="2" t="s">
        <v>956</v>
      </c>
      <c r="C459" s="2" t="s">
        <v>50</v>
      </c>
      <c r="D459" s="2"/>
      <c r="E459" s="2" t="s">
        <v>52</v>
      </c>
      <c r="F459" s="2" t="s">
        <v>957</v>
      </c>
      <c r="G459" s="2" t="s">
        <v>108</v>
      </c>
      <c r="H459" s="13">
        <v>7.7</v>
      </c>
      <c r="I459" s="13"/>
      <c r="J459" s="13">
        <v>0.52</v>
      </c>
      <c r="K459" s="14"/>
      <c r="L459" s="13">
        <v>1.31</v>
      </c>
      <c r="M459" s="13">
        <v>0.68</v>
      </c>
      <c r="N459" s="15"/>
      <c r="O459" s="13">
        <v>0.21</v>
      </c>
      <c r="P459" s="13">
        <v>0.23</v>
      </c>
      <c r="Q459" s="13"/>
      <c r="R459" s="17"/>
      <c r="S459" s="13"/>
      <c r="T459" s="17"/>
      <c r="U459" s="13"/>
      <c r="V459" s="16"/>
      <c r="W459" s="13"/>
      <c r="X459" s="13"/>
      <c r="Y459" s="14"/>
      <c r="Z459" s="2"/>
      <c r="AA459" s="13">
        <f>H459*I459/100</f>
      </c>
      <c r="AB459" s="13">
        <f>H459*J459/100</f>
      </c>
      <c r="AC459" s="15">
        <f>H459*K459</f>
      </c>
      <c r="AD459" s="15">
        <f>H459*M459</f>
      </c>
      <c r="AE459" s="13">
        <f>H459*L459/100</f>
      </c>
      <c r="AF459" s="13">
        <f>AA459+AB459+AE459</f>
      </c>
      <c r="AG459" s="13">
        <f>I459+J459+L459</f>
      </c>
      <c r="AH459" s="18">
        <f>$H459*I459</f>
      </c>
      <c r="AI459" s="18">
        <f>$H459*J459</f>
      </c>
      <c r="AJ459" s="18">
        <f>$H459*K459</f>
      </c>
      <c r="AK459" s="18">
        <f>$H459*L459</f>
      </c>
      <c r="AL459" s="18">
        <f>$H459*M459</f>
      </c>
      <c r="AM459" s="14"/>
      <c r="AN459" s="14"/>
      <c r="AO459" s="14"/>
    </row>
    <row x14ac:dyDescent="0.25" r="460" customHeight="1" ht="17.25">
      <c r="A460" s="2" t="s">
        <v>963</v>
      </c>
      <c r="B460" s="2" t="s">
        <v>956</v>
      </c>
      <c r="C460" s="2" t="s">
        <v>50</v>
      </c>
      <c r="D460" s="2"/>
      <c r="E460" s="12" t="s">
        <v>42</v>
      </c>
      <c r="F460" s="2" t="s">
        <v>43</v>
      </c>
      <c r="G460" s="2" t="s">
        <v>961</v>
      </c>
      <c r="H460" s="13">
        <v>1.32</v>
      </c>
      <c r="I460" s="13"/>
      <c r="J460" s="13">
        <v>1.89</v>
      </c>
      <c r="K460" s="14"/>
      <c r="L460" s="13">
        <v>2.15</v>
      </c>
      <c r="M460" s="13"/>
      <c r="N460" s="15"/>
      <c r="O460" s="13">
        <v>0.15</v>
      </c>
      <c r="P460" s="13">
        <v>0.16</v>
      </c>
      <c r="Q460" s="13"/>
      <c r="R460" s="17"/>
      <c r="S460" s="13"/>
      <c r="T460" s="17"/>
      <c r="U460" s="13"/>
      <c r="V460" s="16"/>
      <c r="W460" s="13"/>
      <c r="X460" s="13"/>
      <c r="Y460" s="14"/>
      <c r="Z460" s="2"/>
      <c r="AA460" s="13">
        <f>H460*I460/100</f>
      </c>
      <c r="AB460" s="13">
        <f>H460*J460/100</f>
      </c>
      <c r="AC460" s="15">
        <f>H460*K460</f>
      </c>
      <c r="AD460" s="15">
        <f>H460*M460</f>
      </c>
      <c r="AE460" s="13">
        <f>H460*L460/100</f>
      </c>
      <c r="AF460" s="13">
        <f>AA460+AB460+AE460</f>
      </c>
      <c r="AG460" s="13">
        <f>I460+J460+L460</f>
      </c>
      <c r="AH460" s="18">
        <f>$H460*I460</f>
      </c>
      <c r="AI460" s="18">
        <f>$H460*J460</f>
      </c>
      <c r="AJ460" s="18">
        <f>$H460*K460</f>
      </c>
      <c r="AK460" s="18">
        <f>$H460*L460</f>
      </c>
      <c r="AL460" s="18">
        <f>$H460*M460</f>
      </c>
      <c r="AM460" s="14"/>
      <c r="AN460" s="14"/>
      <c r="AO460" s="14"/>
    </row>
    <row x14ac:dyDescent="0.25" r="461" customHeight="1" ht="17.25">
      <c r="A461" s="2" t="s">
        <v>964</v>
      </c>
      <c r="B461" s="2" t="s">
        <v>956</v>
      </c>
      <c r="C461" s="2" t="s">
        <v>50</v>
      </c>
      <c r="D461" s="2"/>
      <c r="E461" s="2" t="s">
        <v>52</v>
      </c>
      <c r="F461" s="2" t="s">
        <v>965</v>
      </c>
      <c r="G461" s="2" t="s">
        <v>73</v>
      </c>
      <c r="H461" s="13">
        <f>7.22+7.393</f>
      </c>
      <c r="I461" s="13"/>
      <c r="J461" s="13">
        <f>(0.45*7.22+1.79*7.393)/$H461</f>
      </c>
      <c r="K461" s="15">
        <f>(14*7.22+14*7.393)/$H461</f>
      </c>
      <c r="L461" s="13">
        <f>(0.6*7.22+1.05*7.393)/$H461</f>
      </c>
      <c r="M461" s="13">
        <f>(0.4*7.22+0.4*7.393)/$H461</f>
      </c>
      <c r="N461" s="15"/>
      <c r="O461" s="16"/>
      <c r="P461" s="13"/>
      <c r="Q461" s="13"/>
      <c r="R461" s="17"/>
      <c r="S461" s="13"/>
      <c r="T461" s="17"/>
      <c r="U461" s="13"/>
      <c r="V461" s="16"/>
      <c r="W461" s="13"/>
      <c r="X461" s="13"/>
      <c r="Y461" s="14"/>
      <c r="Z461" s="2"/>
      <c r="AA461" s="13">
        <f>H461*I461/100</f>
      </c>
      <c r="AB461" s="13">
        <f>H461*J461/100</f>
      </c>
      <c r="AC461" s="15">
        <f>H461*K461</f>
      </c>
      <c r="AD461" s="15">
        <f>H461*M461</f>
      </c>
      <c r="AE461" s="13">
        <f>H461*L461/100</f>
      </c>
      <c r="AF461" s="13">
        <f>AA461+AB461+AE461</f>
      </c>
      <c r="AG461" s="13">
        <f>I461+J461+L461</f>
      </c>
      <c r="AH461" s="18">
        <f>$H461*I461</f>
      </c>
      <c r="AI461" s="18">
        <f>$H461*J461</f>
      </c>
      <c r="AJ461" s="18">
        <f>$H461*K461</f>
      </c>
      <c r="AK461" s="18">
        <f>$H461*L461</f>
      </c>
      <c r="AL461" s="18">
        <f>$H461*M461</f>
      </c>
      <c r="AM461" s="14"/>
      <c r="AN461" s="14"/>
      <c r="AO461" s="14"/>
    </row>
    <row x14ac:dyDescent="0.25" r="462" customHeight="1" ht="17.25">
      <c r="A462" s="2" t="s">
        <v>966</v>
      </c>
      <c r="B462" s="2" t="s">
        <v>956</v>
      </c>
      <c r="C462" s="2" t="s">
        <v>40</v>
      </c>
      <c r="D462" s="2" t="s">
        <v>64</v>
      </c>
      <c r="E462" s="12" t="s">
        <v>42</v>
      </c>
      <c r="F462" s="2" t="s">
        <v>43</v>
      </c>
      <c r="G462" s="2" t="s">
        <v>46</v>
      </c>
      <c r="H462" s="13">
        <v>1.7</v>
      </c>
      <c r="I462" s="13">
        <v>0.96</v>
      </c>
      <c r="J462" s="13">
        <v>4.97</v>
      </c>
      <c r="K462" s="14">
        <v>53</v>
      </c>
      <c r="L462" s="13">
        <v>1.33</v>
      </c>
      <c r="M462" s="13"/>
      <c r="N462" s="15"/>
      <c r="O462" s="16"/>
      <c r="P462" s="13"/>
      <c r="Q462" s="13"/>
      <c r="R462" s="17"/>
      <c r="S462" s="13"/>
      <c r="T462" s="17"/>
      <c r="U462" s="13"/>
      <c r="V462" s="16"/>
      <c r="W462" s="13"/>
      <c r="X462" s="13"/>
      <c r="Y462" s="14"/>
      <c r="Z462" s="2"/>
      <c r="AA462" s="13">
        <f>H462*I462/100</f>
      </c>
      <c r="AB462" s="13">
        <f>H462*J462/100</f>
      </c>
      <c r="AC462" s="15">
        <f>H462*K462</f>
      </c>
      <c r="AD462" s="15">
        <f>H462*M462</f>
      </c>
      <c r="AE462" s="13">
        <f>H462*L462/100</f>
      </c>
      <c r="AF462" s="13">
        <f>AA462+AB462+AE462</f>
      </c>
      <c r="AG462" s="13">
        <f>I462+J462+L462</f>
      </c>
      <c r="AH462" s="18">
        <f>$H462*I462</f>
      </c>
      <c r="AI462" s="18">
        <f>$H462*J462</f>
      </c>
      <c r="AJ462" s="18">
        <f>$H462*K462</f>
      </c>
      <c r="AK462" s="18">
        <f>$H462*L462</f>
      </c>
      <c r="AL462" s="18">
        <f>$H462*M462</f>
      </c>
      <c r="AM462" s="14"/>
      <c r="AN462" s="14"/>
      <c r="AO462" s="14"/>
    </row>
    <row x14ac:dyDescent="0.25" r="463" customHeight="1" ht="17.25">
      <c r="A463" s="2" t="s">
        <v>967</v>
      </c>
      <c r="B463" s="2" t="s">
        <v>956</v>
      </c>
      <c r="C463" s="2" t="s">
        <v>249</v>
      </c>
      <c r="D463" s="2"/>
      <c r="E463" s="2" t="s">
        <v>52</v>
      </c>
      <c r="F463" s="2" t="s">
        <v>968</v>
      </c>
      <c r="G463" s="2" t="s">
        <v>969</v>
      </c>
      <c r="H463" s="13">
        <v>34.4</v>
      </c>
      <c r="I463" s="13"/>
      <c r="J463" s="13">
        <v>0.38</v>
      </c>
      <c r="K463" s="14"/>
      <c r="L463" s="13">
        <v>0.1</v>
      </c>
      <c r="M463" s="13"/>
      <c r="N463" s="15"/>
      <c r="O463" s="13">
        <v>0.19</v>
      </c>
      <c r="P463" s="13"/>
      <c r="Q463" s="13"/>
      <c r="R463" s="17"/>
      <c r="S463" s="13"/>
      <c r="T463" s="17"/>
      <c r="U463" s="13"/>
      <c r="V463" s="16"/>
      <c r="W463" s="13"/>
      <c r="X463" s="13"/>
      <c r="Y463" s="14"/>
      <c r="Z463" s="2"/>
      <c r="AA463" s="13">
        <f>H463*I463/100</f>
      </c>
      <c r="AB463" s="13">
        <f>H463*J463/100</f>
      </c>
      <c r="AC463" s="15">
        <f>H463*K463</f>
      </c>
      <c r="AD463" s="15">
        <f>H463*M463</f>
      </c>
      <c r="AE463" s="13">
        <f>H463*L463/100</f>
      </c>
      <c r="AF463" s="13">
        <f>AA463+AB463+AE463</f>
      </c>
      <c r="AG463" s="13">
        <f>I463+J463+L463</f>
      </c>
      <c r="AH463" s="18">
        <f>$H463*I463</f>
      </c>
      <c r="AI463" s="18">
        <f>$H463*J463</f>
      </c>
      <c r="AJ463" s="18">
        <f>$H463*K463</f>
      </c>
      <c r="AK463" s="18">
        <f>$H463*L463</f>
      </c>
      <c r="AL463" s="18">
        <f>$H463*M463</f>
      </c>
      <c r="AM463" s="14"/>
      <c r="AN463" s="14"/>
      <c r="AO463" s="14"/>
    </row>
    <row x14ac:dyDescent="0.25" r="464" customHeight="1" ht="17.25">
      <c r="A464" s="2" t="s">
        <v>970</v>
      </c>
      <c r="B464" s="2" t="s">
        <v>956</v>
      </c>
      <c r="C464" s="2" t="s">
        <v>50</v>
      </c>
      <c r="D464" s="2"/>
      <c r="E464" s="12" t="s">
        <v>42</v>
      </c>
      <c r="F464" s="2" t="s">
        <v>43</v>
      </c>
      <c r="G464" s="2" t="s">
        <v>961</v>
      </c>
      <c r="H464" s="13">
        <v>0.7</v>
      </c>
      <c r="I464" s="13"/>
      <c r="J464" s="13">
        <v>0.09</v>
      </c>
      <c r="K464" s="14"/>
      <c r="L464" s="13">
        <v>0.72</v>
      </c>
      <c r="M464" s="13">
        <v>0.3</v>
      </c>
      <c r="N464" s="15"/>
      <c r="O464" s="13">
        <v>0.03</v>
      </c>
      <c r="P464" s="13">
        <v>0.09</v>
      </c>
      <c r="Q464" s="13"/>
      <c r="R464" s="17"/>
      <c r="S464" s="13"/>
      <c r="T464" s="17"/>
      <c r="U464" s="13"/>
      <c r="V464" s="16"/>
      <c r="W464" s="13"/>
      <c r="X464" s="13"/>
      <c r="Y464" s="14"/>
      <c r="Z464" s="2"/>
      <c r="AA464" s="13">
        <f>H464*I464/100</f>
      </c>
      <c r="AB464" s="13">
        <f>H464*J464/100</f>
      </c>
      <c r="AC464" s="15">
        <f>H464*K464</f>
      </c>
      <c r="AD464" s="15">
        <f>H464*M464</f>
      </c>
      <c r="AE464" s="13">
        <f>H464*L464/100</f>
      </c>
      <c r="AF464" s="13">
        <f>AA464+AB464+AE464</f>
      </c>
      <c r="AG464" s="13">
        <f>I464+J464+L464</f>
      </c>
      <c r="AH464" s="18">
        <f>$H464*I464</f>
      </c>
      <c r="AI464" s="18">
        <f>$H464*J464</f>
      </c>
      <c r="AJ464" s="18">
        <f>$H464*K464</f>
      </c>
      <c r="AK464" s="18">
        <f>$H464*L464</f>
      </c>
      <c r="AL464" s="18">
        <f>$H464*M464</f>
      </c>
      <c r="AM464" s="14"/>
      <c r="AN464" s="14"/>
      <c r="AO464" s="14"/>
    </row>
    <row x14ac:dyDescent="0.25" r="465" customHeight="1" ht="17.25">
      <c r="A465" s="2" t="s">
        <v>971</v>
      </c>
      <c r="B465" s="2" t="s">
        <v>956</v>
      </c>
      <c r="C465" s="2" t="s">
        <v>50</v>
      </c>
      <c r="D465" s="2"/>
      <c r="E465" s="2" t="s">
        <v>52</v>
      </c>
      <c r="F465" s="2" t="s">
        <v>957</v>
      </c>
      <c r="G465" s="2" t="s">
        <v>108</v>
      </c>
      <c r="H465" s="13">
        <v>3.4</v>
      </c>
      <c r="I465" s="13"/>
      <c r="J465" s="13">
        <v>0.63</v>
      </c>
      <c r="K465" s="14"/>
      <c r="L465" s="13">
        <v>0.71</v>
      </c>
      <c r="M465" s="13"/>
      <c r="N465" s="15"/>
      <c r="O465" s="13">
        <v>0.05</v>
      </c>
      <c r="P465" s="13">
        <v>0.09</v>
      </c>
      <c r="Q465" s="13"/>
      <c r="R465" s="17"/>
      <c r="S465" s="13"/>
      <c r="T465" s="17"/>
      <c r="U465" s="13"/>
      <c r="V465" s="16"/>
      <c r="W465" s="13"/>
      <c r="X465" s="13"/>
      <c r="Y465" s="14"/>
      <c r="Z465" s="2"/>
      <c r="AA465" s="13">
        <f>H465*I465/100</f>
      </c>
      <c r="AB465" s="13">
        <f>H465*J465/100</f>
      </c>
      <c r="AC465" s="15">
        <f>H465*K465</f>
      </c>
      <c r="AD465" s="15">
        <f>H465*M465</f>
      </c>
      <c r="AE465" s="13">
        <f>H465*L465/100</f>
      </c>
      <c r="AF465" s="13">
        <f>AA465+AB465+AE465</f>
      </c>
      <c r="AG465" s="13">
        <f>I465+J465+L465</f>
      </c>
      <c r="AH465" s="18">
        <f>$H465*I465</f>
      </c>
      <c r="AI465" s="18">
        <f>$H465*J465</f>
      </c>
      <c r="AJ465" s="18">
        <f>$H465*K465</f>
      </c>
      <c r="AK465" s="18">
        <f>$H465*L465</f>
      </c>
      <c r="AL465" s="18">
        <f>$H465*M465</f>
      </c>
      <c r="AM465" s="14"/>
      <c r="AN465" s="14"/>
      <c r="AO465" s="14"/>
    </row>
    <row x14ac:dyDescent="0.25" r="466" customHeight="1" ht="17.25">
      <c r="A466" s="2" t="s">
        <v>972</v>
      </c>
      <c r="B466" s="2" t="s">
        <v>956</v>
      </c>
      <c r="C466" s="2" t="s">
        <v>620</v>
      </c>
      <c r="D466" s="2"/>
      <c r="E466" s="12" t="s">
        <v>42</v>
      </c>
      <c r="F466" s="2" t="s">
        <v>43</v>
      </c>
      <c r="G466" s="2" t="s">
        <v>961</v>
      </c>
      <c r="H466" s="13">
        <v>0.2</v>
      </c>
      <c r="I466" s="13"/>
      <c r="J466" s="13">
        <v>0.25</v>
      </c>
      <c r="K466" s="14">
        <v>52</v>
      </c>
      <c r="L466" s="13">
        <v>1.95</v>
      </c>
      <c r="M466" s="13"/>
      <c r="N466" s="15"/>
      <c r="O466" s="16"/>
      <c r="P466" s="13"/>
      <c r="Q466" s="13"/>
      <c r="R466" s="17"/>
      <c r="S466" s="13"/>
      <c r="T466" s="17"/>
      <c r="U466" s="13"/>
      <c r="V466" s="16"/>
      <c r="W466" s="13"/>
      <c r="X466" s="13"/>
      <c r="Y466" s="14"/>
      <c r="Z466" s="2"/>
      <c r="AA466" s="13">
        <f>H466*I466/100</f>
      </c>
      <c r="AB466" s="13">
        <f>H466*J466/100</f>
      </c>
      <c r="AC466" s="15">
        <f>H466*K466</f>
      </c>
      <c r="AD466" s="15">
        <f>H466*M466</f>
      </c>
      <c r="AE466" s="13">
        <f>H466*L466/100</f>
      </c>
      <c r="AF466" s="13">
        <f>AA466+AB466+AE466</f>
      </c>
      <c r="AG466" s="13">
        <f>I466+J466+L466</f>
      </c>
      <c r="AH466" s="18">
        <f>$H466*I466</f>
      </c>
      <c r="AI466" s="18">
        <f>$H466*J466</f>
      </c>
      <c r="AJ466" s="18">
        <f>$H466*K466</f>
      </c>
      <c r="AK466" s="18">
        <f>$H466*L466</f>
      </c>
      <c r="AL466" s="18">
        <f>$H466*M466</f>
      </c>
      <c r="AM466" s="14"/>
      <c r="AN466" s="14"/>
      <c r="AO466" s="14"/>
    </row>
    <row x14ac:dyDescent="0.25" r="467" customHeight="1" ht="17.25">
      <c r="A467" s="2" t="s">
        <v>973</v>
      </c>
      <c r="B467" s="2" t="s">
        <v>956</v>
      </c>
      <c r="C467" s="2" t="s">
        <v>370</v>
      </c>
      <c r="D467" s="2" t="s">
        <v>368</v>
      </c>
      <c r="E467" s="2" t="s">
        <v>52</v>
      </c>
      <c r="F467" s="2" t="s">
        <v>974</v>
      </c>
      <c r="G467" s="2" t="s">
        <v>103</v>
      </c>
      <c r="H467" s="15">
        <f>504+800.5+748.3</f>
      </c>
      <c r="I467" s="13"/>
      <c r="J467" s="13">
        <f>(0.5*504+0.51*800.5+0.49*748.3)/$H467</f>
      </c>
      <c r="K467" s="14"/>
      <c r="L467" s="13">
        <f>(0.13*504+0.13*800.5+0.13*748.3)/$H467</f>
      </c>
      <c r="M467" s="13"/>
      <c r="N467" s="15"/>
      <c r="O467" s="13">
        <f>(0.23*504+0.23*800.5+0.21*748.3)/$H467</f>
      </c>
      <c r="P467" s="13">
        <v>0.02</v>
      </c>
      <c r="Q467" s="13"/>
      <c r="R467" s="17"/>
      <c r="S467" s="13"/>
      <c r="T467" s="17"/>
      <c r="U467" s="13"/>
      <c r="V467" s="13">
        <v>0.0017</v>
      </c>
      <c r="W467" s="13"/>
      <c r="X467" s="13"/>
      <c r="Y467" s="14"/>
      <c r="Z467" s="2"/>
      <c r="AA467" s="13">
        <f>H467*I467/100</f>
      </c>
      <c r="AB467" s="13">
        <f>H467*J467/100</f>
      </c>
      <c r="AC467" s="15">
        <f>H467*K467</f>
      </c>
      <c r="AD467" s="15">
        <f>H467*M467</f>
      </c>
      <c r="AE467" s="13">
        <f>H467*L467/100</f>
      </c>
      <c r="AF467" s="13">
        <f>AA467+AB467+AE467</f>
      </c>
      <c r="AG467" s="13">
        <f>I467+J467+L467</f>
      </c>
      <c r="AH467" s="18">
        <f>$H467*I467</f>
      </c>
      <c r="AI467" s="18">
        <f>$H467*J467</f>
      </c>
      <c r="AJ467" s="18">
        <f>$H467*K467</f>
      </c>
      <c r="AK467" s="18">
        <f>$H467*L467</f>
      </c>
      <c r="AL467" s="18">
        <f>$H467*M467</f>
      </c>
      <c r="AM467" s="14"/>
      <c r="AN467" s="14"/>
      <c r="AO467" s="14"/>
    </row>
    <row x14ac:dyDescent="0.25" r="468" customHeight="1" ht="17.25">
      <c r="A468" s="2" t="s">
        <v>975</v>
      </c>
      <c r="B468" s="2" t="s">
        <v>956</v>
      </c>
      <c r="C468" s="2" t="s">
        <v>50</v>
      </c>
      <c r="D468" s="2"/>
      <c r="E468" s="2" t="s">
        <v>52</v>
      </c>
      <c r="F468" s="2" t="s">
        <v>957</v>
      </c>
      <c r="G468" s="2" t="s">
        <v>108</v>
      </c>
      <c r="H468" s="13">
        <v>0.76</v>
      </c>
      <c r="I468" s="13"/>
      <c r="J468" s="13">
        <v>1.33</v>
      </c>
      <c r="K468" s="14"/>
      <c r="L468" s="13">
        <v>1.76</v>
      </c>
      <c r="M468" s="13"/>
      <c r="N468" s="15"/>
      <c r="O468" s="16"/>
      <c r="P468" s="13">
        <v>0.14</v>
      </c>
      <c r="Q468" s="13"/>
      <c r="R468" s="17"/>
      <c r="S468" s="13"/>
      <c r="T468" s="17"/>
      <c r="U468" s="13"/>
      <c r="V468" s="16"/>
      <c r="W468" s="13"/>
      <c r="X468" s="13"/>
      <c r="Y468" s="14"/>
      <c r="Z468" s="2"/>
      <c r="AA468" s="13">
        <f>H468*I468/100</f>
      </c>
      <c r="AB468" s="13">
        <f>H468*J468/100</f>
      </c>
      <c r="AC468" s="15">
        <f>H468*K468</f>
      </c>
      <c r="AD468" s="15">
        <f>H468*M468</f>
      </c>
      <c r="AE468" s="13">
        <f>H468*L468/100</f>
      </c>
      <c r="AF468" s="13">
        <f>AA468+AB468+AE468</f>
      </c>
      <c r="AG468" s="13">
        <f>I468+J468+L468</f>
      </c>
      <c r="AH468" s="18">
        <f>$H468*I468</f>
      </c>
      <c r="AI468" s="18">
        <f>$H468*J468</f>
      </c>
      <c r="AJ468" s="18">
        <f>$H468*K468</f>
      </c>
      <c r="AK468" s="18">
        <f>$H468*L468</f>
      </c>
      <c r="AL468" s="18">
        <f>$H468*M468</f>
      </c>
      <c r="AM468" s="14"/>
      <c r="AN468" s="14"/>
      <c r="AO468" s="14"/>
    </row>
    <row x14ac:dyDescent="0.25" r="469" customHeight="1" ht="17.25">
      <c r="A469" s="2" t="s">
        <v>976</v>
      </c>
      <c r="B469" s="2" t="s">
        <v>977</v>
      </c>
      <c r="C469" s="2" t="s">
        <v>40</v>
      </c>
      <c r="D469" s="2" t="s">
        <v>64</v>
      </c>
      <c r="E469" s="12" t="s">
        <v>42</v>
      </c>
      <c r="F469" s="2" t="s">
        <v>43</v>
      </c>
      <c r="G469" s="2" t="s">
        <v>46</v>
      </c>
      <c r="H469" s="14">
        <v>4</v>
      </c>
      <c r="I469" s="13">
        <v>3.5</v>
      </c>
      <c r="J469" s="13">
        <v>3.5</v>
      </c>
      <c r="K469" s="14"/>
      <c r="L469" s="13"/>
      <c r="M469" s="13"/>
      <c r="N469" s="15"/>
      <c r="O469" s="16"/>
      <c r="P469" s="13"/>
      <c r="Q469" s="13"/>
      <c r="R469" s="17"/>
      <c r="S469" s="13"/>
      <c r="T469" s="17"/>
      <c r="U469" s="13"/>
      <c r="V469" s="16"/>
      <c r="W469" s="13"/>
      <c r="X469" s="13"/>
      <c r="Y469" s="14"/>
      <c r="Z469" s="2"/>
      <c r="AA469" s="13">
        <f>H469*I469/100</f>
      </c>
      <c r="AB469" s="13">
        <f>H469*J469/100</f>
      </c>
      <c r="AC469" s="15">
        <f>H469*K469</f>
      </c>
      <c r="AD469" s="15">
        <f>H469*M469</f>
      </c>
      <c r="AE469" s="13">
        <f>H469*L469/100</f>
      </c>
      <c r="AF469" s="13">
        <f>AA469+AB469+AE469</f>
      </c>
      <c r="AG469" s="13">
        <f>I469+J469+L469</f>
      </c>
      <c r="AH469" s="18">
        <f>$H469*I469</f>
      </c>
      <c r="AI469" s="18">
        <f>$H469*J469</f>
      </c>
      <c r="AJ469" s="18">
        <f>$H469*K469</f>
      </c>
      <c r="AK469" s="18">
        <f>$H469*L469</f>
      </c>
      <c r="AL469" s="18">
        <f>$H469*M469</f>
      </c>
      <c r="AM469" s="14"/>
      <c r="AN469" s="14"/>
      <c r="AO469" s="14"/>
    </row>
    <row x14ac:dyDescent="0.25" r="470" customHeight="1" ht="17.25">
      <c r="A470" s="2" t="s">
        <v>978</v>
      </c>
      <c r="B470" s="2" t="s">
        <v>977</v>
      </c>
      <c r="C470" s="2" t="s">
        <v>40</v>
      </c>
      <c r="D470" s="2" t="s">
        <v>41</v>
      </c>
      <c r="E470" s="12" t="s">
        <v>42</v>
      </c>
      <c r="F470" s="2" t="s">
        <v>43</v>
      </c>
      <c r="G470" s="2" t="s">
        <v>46</v>
      </c>
      <c r="H470" s="13">
        <v>0.06</v>
      </c>
      <c r="I470" s="13">
        <v>1.4</v>
      </c>
      <c r="J470" s="14">
        <v>6</v>
      </c>
      <c r="K470" s="14">
        <v>20</v>
      </c>
      <c r="L470" s="13"/>
      <c r="M470" s="13"/>
      <c r="N470" s="15"/>
      <c r="O470" s="16"/>
      <c r="P470" s="13"/>
      <c r="Q470" s="13"/>
      <c r="R470" s="17"/>
      <c r="S470" s="13"/>
      <c r="T470" s="17"/>
      <c r="U470" s="13"/>
      <c r="V470" s="16"/>
      <c r="W470" s="13"/>
      <c r="X470" s="13"/>
      <c r="Y470" s="14"/>
      <c r="Z470" s="2"/>
      <c r="AA470" s="13">
        <f>H470*I470/100</f>
      </c>
      <c r="AB470" s="13">
        <f>H470*J470/100</f>
      </c>
      <c r="AC470" s="15">
        <f>H470*K470</f>
      </c>
      <c r="AD470" s="15">
        <f>H470*M470</f>
      </c>
      <c r="AE470" s="13">
        <f>H470*L470/100</f>
      </c>
      <c r="AF470" s="13">
        <f>AA470+AB470+AE470</f>
      </c>
      <c r="AG470" s="13">
        <f>I470+J470+L470</f>
      </c>
      <c r="AH470" s="18">
        <f>$H470*I470</f>
      </c>
      <c r="AI470" s="18">
        <f>$H470*J470</f>
      </c>
      <c r="AJ470" s="18">
        <f>$H470*K470</f>
      </c>
      <c r="AK470" s="18">
        <f>$H470*L470</f>
      </c>
      <c r="AL470" s="18">
        <f>$H470*M470</f>
      </c>
      <c r="AM470" s="14"/>
      <c r="AN470" s="14"/>
      <c r="AO470" s="14"/>
    </row>
    <row x14ac:dyDescent="0.25" r="471" customHeight="1" ht="17.25">
      <c r="A471" s="2" t="s">
        <v>979</v>
      </c>
      <c r="B471" s="2" t="s">
        <v>980</v>
      </c>
      <c r="C471" s="2" t="s">
        <v>56</v>
      </c>
      <c r="D471" s="2"/>
      <c r="E471" s="2" t="s">
        <v>52</v>
      </c>
      <c r="F471" s="2" t="s">
        <v>43</v>
      </c>
      <c r="G471" s="2" t="s">
        <v>981</v>
      </c>
      <c r="H471" s="13">
        <v>0.285</v>
      </c>
      <c r="I471" s="13">
        <v>2.36</v>
      </c>
      <c r="J471" s="13">
        <v>3.8</v>
      </c>
      <c r="K471" s="14"/>
      <c r="L471" s="13"/>
      <c r="M471" s="13"/>
      <c r="N471" s="15"/>
      <c r="O471" s="16"/>
      <c r="P471" s="13"/>
      <c r="Q471" s="13"/>
      <c r="R471" s="17"/>
      <c r="S471" s="13"/>
      <c r="T471" s="17"/>
      <c r="U471" s="13"/>
      <c r="V471" s="16"/>
      <c r="W471" s="13"/>
      <c r="X471" s="13"/>
      <c r="Y471" s="14"/>
      <c r="Z471" s="2"/>
      <c r="AA471" s="13">
        <f>H471*I471/100</f>
      </c>
      <c r="AB471" s="13">
        <f>H471*J471/100</f>
      </c>
      <c r="AC471" s="15">
        <f>H471*K471</f>
      </c>
      <c r="AD471" s="15">
        <f>H471*M471</f>
      </c>
      <c r="AE471" s="13">
        <f>H471*L471/100</f>
      </c>
      <c r="AF471" s="22">
        <f>AA471+AB471+AE471</f>
      </c>
      <c r="AG471" s="13">
        <f>I471+J471+L471</f>
      </c>
      <c r="AH471" s="18">
        <f>$H471*I471</f>
      </c>
      <c r="AI471" s="18">
        <f>$H471*J471</f>
      </c>
      <c r="AJ471" s="18">
        <f>$H471*K471</f>
      </c>
      <c r="AK471" s="18">
        <f>$H471*L471</f>
      </c>
      <c r="AL471" s="18">
        <f>$H471*M471</f>
      </c>
      <c r="AM471" s="14"/>
      <c r="AN471" s="14"/>
      <c r="AO471" s="14"/>
    </row>
    <row x14ac:dyDescent="0.25" r="472" customHeight="1" ht="17.25">
      <c r="A472" s="2" t="s">
        <v>982</v>
      </c>
      <c r="B472" s="2" t="s">
        <v>980</v>
      </c>
      <c r="C472" s="2" t="s">
        <v>40</v>
      </c>
      <c r="D472" s="2" t="s">
        <v>41</v>
      </c>
      <c r="E472" s="2" t="s">
        <v>52</v>
      </c>
      <c r="F472" s="2" t="s">
        <v>43</v>
      </c>
      <c r="G472" s="2" t="s">
        <v>981</v>
      </c>
      <c r="H472" s="13">
        <v>0.25</v>
      </c>
      <c r="I472" s="13">
        <v>1.2</v>
      </c>
      <c r="J472" s="13">
        <v>1</v>
      </c>
      <c r="K472" s="14"/>
      <c r="L472" s="13"/>
      <c r="M472" s="13"/>
      <c r="N472" s="15"/>
      <c r="O472" s="16"/>
      <c r="P472" s="13"/>
      <c r="Q472" s="13"/>
      <c r="R472" s="17"/>
      <c r="S472" s="13"/>
      <c r="T472" s="17"/>
      <c r="U472" s="13"/>
      <c r="V472" s="16"/>
      <c r="W472" s="13"/>
      <c r="X472" s="13"/>
      <c r="Y472" s="14"/>
      <c r="Z472" s="2"/>
      <c r="AA472" s="13">
        <f>H472*I472/100</f>
      </c>
      <c r="AB472" s="13">
        <f>H472*J472/100</f>
      </c>
      <c r="AC472" s="15">
        <f>H472*K472</f>
      </c>
      <c r="AD472" s="15">
        <f>H472*M472</f>
      </c>
      <c r="AE472" s="13">
        <f>H472*L472/100</f>
      </c>
      <c r="AF472" s="22">
        <f>AA472+AB472+AE472</f>
      </c>
      <c r="AG472" s="13">
        <f>I472+J472+L472</f>
      </c>
      <c r="AH472" s="18">
        <f>$H472*I472</f>
      </c>
      <c r="AI472" s="18">
        <f>$H472*J472</f>
      </c>
      <c r="AJ472" s="18">
        <f>$H472*K472</f>
      </c>
      <c r="AK472" s="18">
        <f>$H472*L472</f>
      </c>
      <c r="AL472" s="18">
        <f>$H472*M472</f>
      </c>
      <c r="AM472" s="14"/>
      <c r="AN472" s="14"/>
      <c r="AO472" s="14"/>
    </row>
    <row x14ac:dyDescent="0.25" r="473" customHeight="1" ht="17.25">
      <c r="A473" s="2" t="s">
        <v>983</v>
      </c>
      <c r="B473" s="2" t="s">
        <v>980</v>
      </c>
      <c r="C473" s="2" t="s">
        <v>56</v>
      </c>
      <c r="D473" s="2" t="s">
        <v>984</v>
      </c>
      <c r="E473" s="2" t="s">
        <v>52</v>
      </c>
      <c r="F473" s="2" t="s">
        <v>43</v>
      </c>
      <c r="G473" s="2" t="s">
        <v>981</v>
      </c>
      <c r="H473" s="13">
        <v>1.869</v>
      </c>
      <c r="I473" s="13">
        <v>2.67</v>
      </c>
      <c r="J473" s="13">
        <v>5.31</v>
      </c>
      <c r="K473" s="13">
        <v>30.1</v>
      </c>
      <c r="L473" s="13">
        <v>0.76</v>
      </c>
      <c r="M473" s="13">
        <v>1.9</v>
      </c>
      <c r="N473" s="15"/>
      <c r="O473" s="16"/>
      <c r="P473" s="13"/>
      <c r="Q473" s="13"/>
      <c r="R473" s="14">
        <v>26</v>
      </c>
      <c r="S473" s="13"/>
      <c r="T473" s="17"/>
      <c r="U473" s="13"/>
      <c r="V473" s="16"/>
      <c r="W473" s="13"/>
      <c r="X473" s="13"/>
      <c r="Y473" s="14"/>
      <c r="Z473" s="2" t="s">
        <v>985</v>
      </c>
      <c r="AA473" s="13">
        <f>H473*I473/100</f>
      </c>
      <c r="AB473" s="13">
        <f>H473*J473/100</f>
      </c>
      <c r="AC473" s="15">
        <f>H473*K473</f>
      </c>
      <c r="AD473" s="15">
        <f>H473*M473</f>
      </c>
      <c r="AE473" s="13">
        <f>H473*L473/100</f>
      </c>
      <c r="AF473" s="22">
        <f>AA473+AB473+AE473</f>
      </c>
      <c r="AG473" s="13">
        <f>I473+J473+L473</f>
      </c>
      <c r="AH473" s="18">
        <f>$H473*I473</f>
      </c>
      <c r="AI473" s="18">
        <f>$H473*J473</f>
      </c>
      <c r="AJ473" s="18">
        <f>$H473*K473</f>
      </c>
      <c r="AK473" s="18">
        <f>$H473*L473</f>
      </c>
      <c r="AL473" s="18">
        <f>$H473*M473</f>
      </c>
      <c r="AM473" s="14"/>
      <c r="AN473" s="14"/>
      <c r="AO473" s="14"/>
    </row>
    <row x14ac:dyDescent="0.25" r="474" customHeight="1" ht="17.25">
      <c r="A474" s="2" t="s">
        <v>986</v>
      </c>
      <c r="B474" s="2" t="s">
        <v>980</v>
      </c>
      <c r="C474" s="2" t="s">
        <v>56</v>
      </c>
      <c r="D474" s="2" t="s">
        <v>984</v>
      </c>
      <c r="E474" s="2" t="s">
        <v>52</v>
      </c>
      <c r="F474" s="2" t="s">
        <v>43</v>
      </c>
      <c r="G474" s="2" t="s">
        <v>981</v>
      </c>
      <c r="H474" s="14">
        <v>2</v>
      </c>
      <c r="I474" s="13">
        <v>2.5</v>
      </c>
      <c r="J474" s="14">
        <v>5</v>
      </c>
      <c r="K474" s="14">
        <v>15</v>
      </c>
      <c r="L474" s="13">
        <v>0.8</v>
      </c>
      <c r="M474" s="13">
        <v>2.5</v>
      </c>
      <c r="N474" s="15">
        <f>19.6*(137.327/(137.327+96.06))</f>
      </c>
      <c r="O474" s="16"/>
      <c r="P474" s="13"/>
      <c r="Q474" s="13"/>
      <c r="R474" s="17"/>
      <c r="S474" s="13"/>
      <c r="T474" s="17"/>
      <c r="U474" s="13"/>
      <c r="V474" s="16"/>
      <c r="W474" s="13"/>
      <c r="X474" s="13"/>
      <c r="Y474" s="14"/>
      <c r="Z474" s="2"/>
      <c r="AA474" s="13">
        <f>H474*I474/100</f>
      </c>
      <c r="AB474" s="13">
        <f>H474*J474/100</f>
      </c>
      <c r="AC474" s="15">
        <f>H474*K474</f>
      </c>
      <c r="AD474" s="15">
        <f>H474*M474</f>
      </c>
      <c r="AE474" s="13">
        <f>H474*L474/100</f>
      </c>
      <c r="AF474" s="22">
        <f>AA474+AB474+AE474</f>
      </c>
      <c r="AG474" s="13">
        <f>I474+J474+L474</f>
      </c>
      <c r="AH474" s="18">
        <f>$H474*I474</f>
      </c>
      <c r="AI474" s="18">
        <f>$H474*J474</f>
      </c>
      <c r="AJ474" s="18">
        <f>$H474*K474</f>
      </c>
      <c r="AK474" s="18">
        <f>$H474*L474</f>
      </c>
      <c r="AL474" s="18">
        <f>$H474*M474</f>
      </c>
      <c r="AM474" s="14"/>
      <c r="AN474" s="14"/>
      <c r="AO474" s="14"/>
    </row>
    <row x14ac:dyDescent="0.25" r="475" customHeight="1" ht="17.25">
      <c r="A475" s="2" t="s">
        <v>987</v>
      </c>
      <c r="B475" s="2" t="s">
        <v>980</v>
      </c>
      <c r="C475" s="2" t="s">
        <v>56</v>
      </c>
      <c r="D475" s="2"/>
      <c r="E475" s="2" t="s">
        <v>52</v>
      </c>
      <c r="F475" s="2" t="s">
        <v>43</v>
      </c>
      <c r="G475" s="2" t="s">
        <v>981</v>
      </c>
      <c r="H475" s="13">
        <v>2.851</v>
      </c>
      <c r="I475" s="13">
        <v>2.24</v>
      </c>
      <c r="J475" s="13">
        <v>6.47</v>
      </c>
      <c r="K475" s="13">
        <v>15.4</v>
      </c>
      <c r="L475" s="13"/>
      <c r="M475" s="13"/>
      <c r="N475" s="15"/>
      <c r="O475" s="16"/>
      <c r="P475" s="13"/>
      <c r="Q475" s="13"/>
      <c r="R475" s="17"/>
      <c r="S475" s="13"/>
      <c r="T475" s="17"/>
      <c r="U475" s="13"/>
      <c r="V475" s="16"/>
      <c r="W475" s="13"/>
      <c r="X475" s="13"/>
      <c r="Y475" s="13">
        <v>0.02</v>
      </c>
      <c r="Z475" s="2" t="s">
        <v>418</v>
      </c>
      <c r="AA475" s="13">
        <f>H475*I475/100</f>
      </c>
      <c r="AB475" s="13">
        <f>H475*J475/100</f>
      </c>
      <c r="AC475" s="15">
        <f>H475*K475</f>
      </c>
      <c r="AD475" s="15">
        <f>H475*M475</f>
      </c>
      <c r="AE475" s="13">
        <f>H475*L475/100</f>
      </c>
      <c r="AF475" s="22">
        <f>AA475+AB475+AE475</f>
      </c>
      <c r="AG475" s="13">
        <f>I475+J475+L475</f>
      </c>
      <c r="AH475" s="18">
        <f>$H475*I475</f>
      </c>
      <c r="AI475" s="18">
        <f>$H475*J475</f>
      </c>
      <c r="AJ475" s="18">
        <f>$H475*K475</f>
      </c>
      <c r="AK475" s="18">
        <f>$H475*L475</f>
      </c>
      <c r="AL475" s="18">
        <f>$H475*M475</f>
      </c>
      <c r="AM475" s="14"/>
      <c r="AN475" s="14"/>
      <c r="AO475" s="14"/>
    </row>
    <row x14ac:dyDescent="0.25" r="476" customHeight="1" ht="17.25">
      <c r="A476" s="2" t="s">
        <v>988</v>
      </c>
      <c r="B476" s="2" t="s">
        <v>980</v>
      </c>
      <c r="C476" s="2" t="s">
        <v>56</v>
      </c>
      <c r="D476" s="2" t="s">
        <v>984</v>
      </c>
      <c r="E476" s="2" t="s">
        <v>52</v>
      </c>
      <c r="F476" s="2" t="s">
        <v>43</v>
      </c>
      <c r="G476" s="2" t="s">
        <v>989</v>
      </c>
      <c r="H476" s="13">
        <v>93.07</v>
      </c>
      <c r="I476" s="13">
        <v>0.62</v>
      </c>
      <c r="J476" s="13">
        <v>4.09</v>
      </c>
      <c r="K476" s="13">
        <v>9.2</v>
      </c>
      <c r="L476" s="13">
        <v>1.28</v>
      </c>
      <c r="M476" s="13">
        <v>1.8</v>
      </c>
      <c r="N476" s="15"/>
      <c r="O476" s="16"/>
      <c r="P476" s="13"/>
      <c r="Q476" s="13"/>
      <c r="R476" s="17"/>
      <c r="S476" s="13"/>
      <c r="T476" s="17"/>
      <c r="U476" s="13"/>
      <c r="V476" s="16"/>
      <c r="W476" s="13"/>
      <c r="X476" s="13"/>
      <c r="Y476" s="14"/>
      <c r="Z476" s="2" t="s">
        <v>990</v>
      </c>
      <c r="AA476" s="13">
        <f>H476*I476/100</f>
      </c>
      <c r="AB476" s="13">
        <f>H476*J476/100</f>
      </c>
      <c r="AC476" s="15">
        <f>H476*K476</f>
      </c>
      <c r="AD476" s="15">
        <f>H476*M476</f>
      </c>
      <c r="AE476" s="13">
        <f>H476*L476/100</f>
      </c>
      <c r="AF476" s="22">
        <f>AA476+AB476+AE476</f>
      </c>
      <c r="AG476" s="13">
        <f>I476+J476+L476</f>
      </c>
      <c r="AH476" s="18">
        <f>$H476*I476</f>
      </c>
      <c r="AI476" s="18">
        <f>$H476*J476</f>
      </c>
      <c r="AJ476" s="18">
        <f>$H476*K476</f>
      </c>
      <c r="AK476" s="18">
        <f>$H476*L476</f>
      </c>
      <c r="AL476" s="18">
        <f>$H476*M476</f>
      </c>
      <c r="AM476" s="14"/>
      <c r="AN476" s="14"/>
      <c r="AO476" s="14"/>
    </row>
    <row x14ac:dyDescent="0.25" r="477" customHeight="1" ht="17.25">
      <c r="A477" s="2" t="s">
        <v>991</v>
      </c>
      <c r="B477" s="2" t="s">
        <v>980</v>
      </c>
      <c r="C477" s="2" t="s">
        <v>68</v>
      </c>
      <c r="D477" s="2"/>
      <c r="E477" s="2" t="s">
        <v>52</v>
      </c>
      <c r="F477" s="2" t="s">
        <v>43</v>
      </c>
      <c r="G477" s="2" t="s">
        <v>981</v>
      </c>
      <c r="H477" s="13">
        <v>3.268</v>
      </c>
      <c r="I477" s="13">
        <v>1.8</v>
      </c>
      <c r="J477" s="13">
        <v>1.4</v>
      </c>
      <c r="K477" s="13">
        <v>18.7</v>
      </c>
      <c r="L477" s="13">
        <v>2.84</v>
      </c>
      <c r="M477" s="13">
        <v>0.7</v>
      </c>
      <c r="N477" s="15"/>
      <c r="O477" s="16"/>
      <c r="P477" s="13"/>
      <c r="Q477" s="13"/>
      <c r="R477" s="17"/>
      <c r="S477" s="13"/>
      <c r="T477" s="17"/>
      <c r="U477" s="13"/>
      <c r="V477" s="16"/>
      <c r="W477" s="13"/>
      <c r="X477" s="13"/>
      <c r="Y477" s="13">
        <v>0.01</v>
      </c>
      <c r="Z477" s="2" t="s">
        <v>700</v>
      </c>
      <c r="AA477" s="13">
        <f>H477*I477/100</f>
      </c>
      <c r="AB477" s="13">
        <f>H477*J477/100</f>
      </c>
      <c r="AC477" s="15">
        <f>H477*K477</f>
      </c>
      <c r="AD477" s="15">
        <f>H477*M477</f>
      </c>
      <c r="AE477" s="13">
        <f>H477*L477/100</f>
      </c>
      <c r="AF477" s="22">
        <f>AA477+AB477+AE477</f>
      </c>
      <c r="AG477" s="13">
        <f>I477+J477+L477</f>
      </c>
      <c r="AH477" s="18">
        <f>$H477*I477</f>
      </c>
      <c r="AI477" s="18">
        <f>$H477*J477</f>
      </c>
      <c r="AJ477" s="18">
        <f>$H477*K477</f>
      </c>
      <c r="AK477" s="18">
        <f>$H477*L477</f>
      </c>
      <c r="AL477" s="18">
        <f>$H477*M477</f>
      </c>
      <c r="AM477" s="14"/>
      <c r="AN477" s="14"/>
      <c r="AO477" s="14"/>
    </row>
    <row x14ac:dyDescent="0.25" r="478" customHeight="1" ht="17.25">
      <c r="A478" s="2" t="s">
        <v>992</v>
      </c>
      <c r="B478" s="2" t="s">
        <v>980</v>
      </c>
      <c r="C478" s="2" t="s">
        <v>56</v>
      </c>
      <c r="D478" s="2"/>
      <c r="E478" s="2" t="s">
        <v>52</v>
      </c>
      <c r="F478" s="2" t="s">
        <v>43</v>
      </c>
      <c r="G478" s="2" t="s">
        <v>981</v>
      </c>
      <c r="H478" s="13">
        <v>0.34</v>
      </c>
      <c r="I478" s="13">
        <v>1.5</v>
      </c>
      <c r="J478" s="13">
        <v>1</v>
      </c>
      <c r="K478" s="14"/>
      <c r="L478" s="13"/>
      <c r="M478" s="13"/>
      <c r="N478" s="15"/>
      <c r="O478" s="16"/>
      <c r="P478" s="13"/>
      <c r="Q478" s="13"/>
      <c r="R478" s="17"/>
      <c r="S478" s="13"/>
      <c r="T478" s="17"/>
      <c r="U478" s="13"/>
      <c r="V478" s="16"/>
      <c r="W478" s="13"/>
      <c r="X478" s="13"/>
      <c r="Y478" s="14"/>
      <c r="Z478" s="2"/>
      <c r="AA478" s="13">
        <f>H478*I478/100</f>
      </c>
      <c r="AB478" s="13">
        <f>H478*J478/100</f>
      </c>
      <c r="AC478" s="15">
        <f>H478*K478</f>
      </c>
      <c r="AD478" s="15">
        <f>H478*M478</f>
      </c>
      <c r="AE478" s="13">
        <f>H478*L478/100</f>
      </c>
      <c r="AF478" s="22">
        <f>AA478+AB478+AE478</f>
      </c>
      <c r="AG478" s="13">
        <f>I478+J478+L478</f>
      </c>
      <c r="AH478" s="18">
        <f>$H478*I478</f>
      </c>
      <c r="AI478" s="18">
        <f>$H478*J478</f>
      </c>
      <c r="AJ478" s="18">
        <f>$H478*K478</f>
      </c>
      <c r="AK478" s="18">
        <f>$H478*L478</f>
      </c>
      <c r="AL478" s="18">
        <f>$H478*M478</f>
      </c>
      <c r="AM478" s="14"/>
      <c r="AN478" s="14"/>
      <c r="AO478" s="14"/>
    </row>
    <row x14ac:dyDescent="0.25" r="479" customHeight="1" ht="17.25">
      <c r="A479" s="2" t="s">
        <v>993</v>
      </c>
      <c r="B479" s="2" t="s">
        <v>980</v>
      </c>
      <c r="C479" s="2" t="s">
        <v>189</v>
      </c>
      <c r="D479" s="2"/>
      <c r="E479" s="2" t="s">
        <v>52</v>
      </c>
      <c r="F479" s="2" t="s">
        <v>43</v>
      </c>
      <c r="G479" s="2" t="s">
        <v>981</v>
      </c>
      <c r="H479" s="13">
        <v>0.255</v>
      </c>
      <c r="I479" s="13">
        <v>1.61</v>
      </c>
      <c r="J479" s="13">
        <v>2.67</v>
      </c>
      <c r="K479" s="14"/>
      <c r="L479" s="13"/>
      <c r="M479" s="13"/>
      <c r="N479" s="15"/>
      <c r="O479" s="16"/>
      <c r="P479" s="13"/>
      <c r="Q479" s="13"/>
      <c r="R479" s="17"/>
      <c r="S479" s="13"/>
      <c r="T479" s="17"/>
      <c r="U479" s="13"/>
      <c r="V479" s="16"/>
      <c r="W479" s="13"/>
      <c r="X479" s="13"/>
      <c r="Y479" s="14"/>
      <c r="Z479" s="2"/>
      <c r="AA479" s="13">
        <f>H479*I479/100</f>
      </c>
      <c r="AB479" s="13">
        <f>H479*J479/100</f>
      </c>
      <c r="AC479" s="15">
        <f>H479*K479</f>
      </c>
      <c r="AD479" s="15">
        <f>H479*M479</f>
      </c>
      <c r="AE479" s="13">
        <f>H479*L479/100</f>
      </c>
      <c r="AF479" s="22">
        <f>AA479+AB479+AE479</f>
      </c>
      <c r="AG479" s="13">
        <f>I479+J479+L479</f>
      </c>
      <c r="AH479" s="18">
        <f>$H479*I479</f>
      </c>
      <c r="AI479" s="18">
        <f>$H479*J479</f>
      </c>
      <c r="AJ479" s="18">
        <f>$H479*K479</f>
      </c>
      <c r="AK479" s="18">
        <f>$H479*L479</f>
      </c>
      <c r="AL479" s="18">
        <f>$H479*M479</f>
      </c>
      <c r="AM479" s="14"/>
      <c r="AN479" s="14"/>
      <c r="AO479" s="14"/>
    </row>
    <row x14ac:dyDescent="0.25" r="480" customHeight="1" ht="17.25">
      <c r="A480" s="2" t="s">
        <v>994</v>
      </c>
      <c r="B480" s="2" t="s">
        <v>980</v>
      </c>
      <c r="C480" s="2" t="s">
        <v>56</v>
      </c>
      <c r="D480" s="2"/>
      <c r="E480" s="2" t="s">
        <v>52</v>
      </c>
      <c r="F480" s="2" t="s">
        <v>43</v>
      </c>
      <c r="G480" s="2" t="s">
        <v>981</v>
      </c>
      <c r="H480" s="13">
        <v>0.1745</v>
      </c>
      <c r="I480" s="13">
        <v>6.81</v>
      </c>
      <c r="J480" s="13"/>
      <c r="K480" s="14"/>
      <c r="L480" s="13"/>
      <c r="M480" s="13"/>
      <c r="N480" s="15"/>
      <c r="O480" s="16"/>
      <c r="P480" s="13"/>
      <c r="Q480" s="13"/>
      <c r="R480" s="17"/>
      <c r="S480" s="13"/>
      <c r="T480" s="17"/>
      <c r="U480" s="13"/>
      <c r="V480" s="16"/>
      <c r="W480" s="13"/>
      <c r="X480" s="13"/>
      <c r="Y480" s="14"/>
      <c r="Z480" s="2"/>
      <c r="AA480" s="13">
        <f>H480*I480/100</f>
      </c>
      <c r="AB480" s="13">
        <f>H480*J480/100</f>
      </c>
      <c r="AC480" s="15">
        <f>H480*K480</f>
      </c>
      <c r="AD480" s="15">
        <f>H480*M480</f>
      </c>
      <c r="AE480" s="13">
        <f>H480*L480/100</f>
      </c>
      <c r="AF480" s="22">
        <f>AA480+AB480+AE480</f>
      </c>
      <c r="AG480" s="13">
        <f>I480+J480+L480</f>
      </c>
      <c r="AH480" s="18">
        <f>$H480*I480</f>
      </c>
      <c r="AI480" s="18">
        <f>$H480*J480</f>
      </c>
      <c r="AJ480" s="18">
        <f>$H480*K480</f>
      </c>
      <c r="AK480" s="18">
        <f>$H480*L480</f>
      </c>
      <c r="AL480" s="18">
        <f>$H480*M480</f>
      </c>
      <c r="AM480" s="14"/>
      <c r="AN480" s="14"/>
      <c r="AO480" s="14"/>
    </row>
    <row x14ac:dyDescent="0.25" r="481" customHeight="1" ht="17.25">
      <c r="A481" s="2" t="s">
        <v>995</v>
      </c>
      <c r="B481" s="2" t="s">
        <v>980</v>
      </c>
      <c r="C481" s="2" t="s">
        <v>50</v>
      </c>
      <c r="D481" s="2" t="s">
        <v>996</v>
      </c>
      <c r="E481" s="2" t="s">
        <v>52</v>
      </c>
      <c r="F481" s="2" t="s">
        <v>43</v>
      </c>
      <c r="G481" s="2" t="s">
        <v>981</v>
      </c>
      <c r="H481" s="13">
        <v>22.88</v>
      </c>
      <c r="I481" s="13"/>
      <c r="J481" s="13">
        <v>1.67</v>
      </c>
      <c r="K481" s="14"/>
      <c r="L481" s="13">
        <v>3.5</v>
      </c>
      <c r="M481" s="13"/>
      <c r="N481" s="15"/>
      <c r="O481" s="16"/>
      <c r="P481" s="13"/>
      <c r="Q481" s="13"/>
      <c r="R481" s="17"/>
      <c r="S481" s="13"/>
      <c r="T481" s="17"/>
      <c r="U481" s="13"/>
      <c r="V481" s="16"/>
      <c r="W481" s="13"/>
      <c r="X481" s="13"/>
      <c r="Y481" s="14"/>
      <c r="Z481" s="2"/>
      <c r="AA481" s="13">
        <f>H481*I481/100</f>
      </c>
      <c r="AB481" s="13">
        <f>H481*J481/100</f>
      </c>
      <c r="AC481" s="15">
        <f>H481*K481</f>
      </c>
      <c r="AD481" s="15">
        <f>H481*M481</f>
      </c>
      <c r="AE481" s="13">
        <f>H481*L481/100</f>
      </c>
      <c r="AF481" s="22">
        <f>AA481+AB481+AE481</f>
      </c>
      <c r="AG481" s="13">
        <f>I481+J481+L481</f>
      </c>
      <c r="AH481" s="18">
        <f>$H481*I481</f>
      </c>
      <c r="AI481" s="18">
        <f>$H481*J481</f>
      </c>
      <c r="AJ481" s="18">
        <f>$H481*K481</f>
      </c>
      <c r="AK481" s="18">
        <f>$H481*L481</f>
      </c>
      <c r="AL481" s="18">
        <f>$H481*M481</f>
      </c>
      <c r="AM481" s="14"/>
      <c r="AN481" s="14"/>
      <c r="AO481" s="14"/>
    </row>
    <row x14ac:dyDescent="0.25" r="482" customHeight="1" ht="17.25">
      <c r="A482" s="2" t="s">
        <v>997</v>
      </c>
      <c r="B482" s="2" t="s">
        <v>998</v>
      </c>
      <c r="C482" s="2" t="s">
        <v>159</v>
      </c>
      <c r="D482" s="2"/>
      <c r="E482" s="2" t="s">
        <v>52</v>
      </c>
      <c r="F482" s="2" t="s">
        <v>999</v>
      </c>
      <c r="G482" s="2" t="s">
        <v>1000</v>
      </c>
      <c r="H482" s="13">
        <v>32.2</v>
      </c>
      <c r="I482" s="13"/>
      <c r="J482" s="13">
        <v>0.74</v>
      </c>
      <c r="K482" s="14"/>
      <c r="L482" s="13"/>
      <c r="M482" s="13"/>
      <c r="N482" s="15"/>
      <c r="O482" s="16"/>
      <c r="P482" s="13"/>
      <c r="Q482" s="13">
        <v>0.35</v>
      </c>
      <c r="R482" s="14">
        <v>71</v>
      </c>
      <c r="S482" s="13"/>
      <c r="T482" s="17"/>
      <c r="U482" s="13"/>
      <c r="V482" s="16"/>
      <c r="W482" s="13"/>
      <c r="X482" s="13"/>
      <c r="Y482" s="14"/>
      <c r="Z482" s="2"/>
      <c r="AA482" s="13">
        <f>H482*I482/100</f>
      </c>
      <c r="AB482" s="13">
        <f>H482*J482/100</f>
      </c>
      <c r="AC482" s="15">
        <f>H482*K482</f>
      </c>
      <c r="AD482" s="15">
        <f>H482*M482</f>
      </c>
      <c r="AE482" s="13">
        <f>H482*L482/100</f>
      </c>
      <c r="AF482" s="13">
        <f>AA482+AB482+AE482</f>
      </c>
      <c r="AG482" s="13">
        <f>I482+J482+L482</f>
      </c>
      <c r="AH482" s="18">
        <f>$H482*I482</f>
      </c>
      <c r="AI482" s="18">
        <f>$H482*J482</f>
      </c>
      <c r="AJ482" s="18">
        <f>$H482*K482</f>
      </c>
      <c r="AK482" s="18">
        <f>$H482*L482</f>
      </c>
      <c r="AL482" s="18">
        <f>$H482*M482</f>
      </c>
      <c r="AM482" s="14"/>
      <c r="AN482" s="14"/>
      <c r="AO482" s="14"/>
    </row>
    <row x14ac:dyDescent="0.25" r="483" customHeight="1" ht="17.25">
      <c r="A483" s="2" t="s">
        <v>1001</v>
      </c>
      <c r="B483" s="2" t="s">
        <v>998</v>
      </c>
      <c r="C483" s="2" t="s">
        <v>159</v>
      </c>
      <c r="D483" s="2"/>
      <c r="E483" s="2" t="s">
        <v>52</v>
      </c>
      <c r="F483" s="2" t="s">
        <v>1002</v>
      </c>
      <c r="G483" s="2" t="s">
        <v>1000</v>
      </c>
      <c r="H483" s="13">
        <v>11.6</v>
      </c>
      <c r="I483" s="13"/>
      <c r="J483" s="13">
        <f>(0.37/0.46)*0.58</f>
      </c>
      <c r="K483" s="14"/>
      <c r="L483" s="13"/>
      <c r="M483" s="13"/>
      <c r="N483" s="15"/>
      <c r="O483" s="16"/>
      <c r="P483" s="13"/>
      <c r="Q483" s="13">
        <v>0.37</v>
      </c>
      <c r="R483" s="17">
        <f>(0.37/0.46)*35</f>
      </c>
      <c r="S483" s="13"/>
      <c r="T483" s="17"/>
      <c r="U483" s="13"/>
      <c r="V483" s="16"/>
      <c r="W483" s="13"/>
      <c r="X483" s="13"/>
      <c r="Y483" s="17">
        <f>(0.37/0.46)*28</f>
      </c>
      <c r="Z483" s="2" t="s">
        <v>392</v>
      </c>
      <c r="AA483" s="13">
        <f>H483*I483/100</f>
      </c>
      <c r="AB483" s="13">
        <f>H483*J483/100</f>
      </c>
      <c r="AC483" s="15">
        <f>H483*K483</f>
      </c>
      <c r="AD483" s="15">
        <f>H483*M483</f>
      </c>
      <c r="AE483" s="13">
        <f>H483*L483/100</f>
      </c>
      <c r="AF483" s="13">
        <f>AA483+AB483+AE483</f>
      </c>
      <c r="AG483" s="13">
        <f>I483+J483+L483</f>
      </c>
      <c r="AH483" s="18">
        <f>$H483*I483</f>
      </c>
      <c r="AI483" s="18">
        <f>$H483*J483</f>
      </c>
      <c r="AJ483" s="18">
        <f>$H483*K483</f>
      </c>
      <c r="AK483" s="18">
        <f>$H483*L483</f>
      </c>
      <c r="AL483" s="18">
        <f>$H483*M483</f>
      </c>
      <c r="AM483" s="14"/>
      <c r="AN483" s="14"/>
      <c r="AO483" s="14"/>
    </row>
    <row x14ac:dyDescent="0.25" r="484" customHeight="1" ht="17.25">
      <c r="A484" s="2" t="s">
        <v>1003</v>
      </c>
      <c r="B484" s="2" t="s">
        <v>1004</v>
      </c>
      <c r="C484" s="2" t="s">
        <v>159</v>
      </c>
      <c r="D484" s="2"/>
      <c r="E484" s="2" t="s">
        <v>52</v>
      </c>
      <c r="F484" s="2" t="s">
        <v>1005</v>
      </c>
      <c r="G484" s="2" t="s">
        <v>1006</v>
      </c>
      <c r="H484" s="13">
        <f>6.319+10.644+3.955</f>
      </c>
      <c r="I484" s="15">
        <f>(4.7*4.464+5*10.644+3.9*3.955)/$H484</f>
      </c>
      <c r="J484" s="15">
        <f>(5.8*4.464+6.8*10.644+4.3*3.955)/$H484</f>
      </c>
      <c r="K484" s="17">
        <f>(142*4.464+147*10.644+118*3.955)/$H484</f>
      </c>
      <c r="L484" s="13"/>
      <c r="M484" s="13">
        <f>(8.04*6.319+8.55*10.644+8.34*3.955)/$H484</f>
      </c>
      <c r="N484" s="15"/>
      <c r="O484" s="16"/>
      <c r="P484" s="13"/>
      <c r="Q484" s="13"/>
      <c r="R484" s="17"/>
      <c r="S484" s="13"/>
      <c r="T484" s="17"/>
      <c r="U484" s="13"/>
      <c r="V484" s="16"/>
      <c r="W484" s="13"/>
      <c r="X484" s="13"/>
      <c r="Y484" s="14"/>
      <c r="Z484" s="2"/>
      <c r="AA484" s="13">
        <f>H484*I484/100</f>
      </c>
      <c r="AB484" s="13">
        <f>H484*J484/100</f>
      </c>
      <c r="AC484" s="15">
        <f>H484*K484</f>
      </c>
      <c r="AD484" s="15">
        <f>H484*M484</f>
      </c>
      <c r="AE484" s="13">
        <f>H484*L484/100</f>
      </c>
      <c r="AF484" s="13">
        <f>AA484+AB484+AE484</f>
      </c>
      <c r="AG484" s="13">
        <f>I484+J484+L484</f>
      </c>
      <c r="AH484" s="18">
        <f>$H484*I484</f>
      </c>
      <c r="AI484" s="18">
        <f>$H484*J484</f>
      </c>
      <c r="AJ484" s="18">
        <f>$H484*K484</f>
      </c>
      <c r="AK484" s="18">
        <f>$H484*L484</f>
      </c>
      <c r="AL484" s="18">
        <f>$H484*M484</f>
      </c>
      <c r="AM484" s="14"/>
      <c r="AN484" s="14"/>
      <c r="AO484" s="14"/>
    </row>
    <row x14ac:dyDescent="0.25" r="485" customHeight="1" ht="17.25">
      <c r="A485" s="2" t="s">
        <v>1007</v>
      </c>
      <c r="B485" s="2" t="s">
        <v>1004</v>
      </c>
      <c r="C485" s="2" t="s">
        <v>159</v>
      </c>
      <c r="D485" s="2"/>
      <c r="E485" s="2" t="s">
        <v>52</v>
      </c>
      <c r="F485" s="2" t="s">
        <v>1005</v>
      </c>
      <c r="G485" s="2" t="s">
        <v>1006</v>
      </c>
      <c r="H485" s="13">
        <f>0.837+0.507+0.49</f>
      </c>
      <c r="I485" s="15">
        <f>(7.5*0.837+7.7*0.507+6.4*0.49)/$H485</f>
      </c>
      <c r="J485" s="15">
        <f>(10.5*0.837+10.7*0.507+8.8*0.49)/$H485</f>
      </c>
      <c r="K485" s="17">
        <f>(197*0.837+207*0.507+169*0.49)/$H485</f>
      </c>
      <c r="L485" s="13"/>
      <c r="M485" s="13"/>
      <c r="N485" s="15"/>
      <c r="O485" s="16"/>
      <c r="P485" s="13"/>
      <c r="Q485" s="13"/>
      <c r="R485" s="17"/>
      <c r="S485" s="13"/>
      <c r="T485" s="17"/>
      <c r="U485" s="13"/>
      <c r="V485" s="16"/>
      <c r="W485" s="13"/>
      <c r="X485" s="13"/>
      <c r="Y485" s="14"/>
      <c r="Z485" s="2"/>
      <c r="AA485" s="13">
        <f>H485*I485/100</f>
      </c>
      <c r="AB485" s="13">
        <f>H485*J485/100</f>
      </c>
      <c r="AC485" s="15">
        <f>H485*K485</f>
      </c>
      <c r="AD485" s="15">
        <f>H485*M485</f>
      </c>
      <c r="AE485" s="13">
        <f>H485*L485/100</f>
      </c>
      <c r="AF485" s="13">
        <f>AA485+AB485+AE485</f>
      </c>
      <c r="AG485" s="13">
        <f>I485+J485+L485</f>
      </c>
      <c r="AH485" s="18">
        <f>$H485*I485</f>
      </c>
      <c r="AI485" s="18">
        <f>$H485*J485</f>
      </c>
      <c r="AJ485" s="18">
        <f>$H485*K485</f>
      </c>
      <c r="AK485" s="18">
        <f>$H485*L485</f>
      </c>
      <c r="AL485" s="18">
        <f>$H485*M485</f>
      </c>
      <c r="AM485" s="14"/>
      <c r="AN485" s="14"/>
      <c r="AO485" s="14"/>
    </row>
    <row x14ac:dyDescent="0.25" r="486" customHeight="1" ht="17.25">
      <c r="A486" s="2" t="s">
        <v>1008</v>
      </c>
      <c r="B486" s="2" t="s">
        <v>1009</v>
      </c>
      <c r="C486" s="2" t="s">
        <v>40</v>
      </c>
      <c r="D486" s="2" t="s">
        <v>64</v>
      </c>
      <c r="E486" s="2" t="s">
        <v>52</v>
      </c>
      <c r="F486" s="2" t="s">
        <v>1010</v>
      </c>
      <c r="G486" s="2" t="s">
        <v>1011</v>
      </c>
      <c r="H486" s="13">
        <v>0.492</v>
      </c>
      <c r="I486" s="13">
        <v>2.2</v>
      </c>
      <c r="J486" s="13">
        <v>4.7</v>
      </c>
      <c r="K486" s="14"/>
      <c r="L486" s="13"/>
      <c r="M486" s="13"/>
      <c r="N486" s="15"/>
      <c r="O486" s="16"/>
      <c r="P486" s="13"/>
      <c r="Q486" s="13"/>
      <c r="R486" s="17"/>
      <c r="S486" s="13"/>
      <c r="T486" s="17"/>
      <c r="U486" s="13"/>
      <c r="V486" s="16"/>
      <c r="W486" s="13"/>
      <c r="X486" s="13"/>
      <c r="Y486" s="14"/>
      <c r="Z486" s="2"/>
      <c r="AA486" s="13">
        <f>H486*I486/100</f>
      </c>
      <c r="AB486" s="13">
        <f>H486*J486/100</f>
      </c>
      <c r="AC486" s="15">
        <f>H486*K486</f>
      </c>
      <c r="AD486" s="15">
        <f>H486*M486</f>
      </c>
      <c r="AE486" s="13">
        <f>H486*L486/100</f>
      </c>
      <c r="AF486" s="13">
        <f>AA486+AB486+AE486</f>
      </c>
      <c r="AG486" s="13">
        <f>I486+J486+L486</f>
      </c>
      <c r="AH486" s="18">
        <f>$H486*I486</f>
      </c>
      <c r="AI486" s="18">
        <f>$H486*J486</f>
      </c>
      <c r="AJ486" s="18">
        <f>$H486*K486</f>
      </c>
      <c r="AK486" s="18">
        <f>$H486*L486</f>
      </c>
      <c r="AL486" s="18">
        <f>$H486*M486</f>
      </c>
      <c r="AM486" s="14"/>
      <c r="AN486" s="14"/>
      <c r="AO486" s="14"/>
    </row>
    <row x14ac:dyDescent="0.25" r="487" customHeight="1" ht="17.25">
      <c r="A487" s="2" t="s">
        <v>1012</v>
      </c>
      <c r="B487" s="2" t="s">
        <v>1009</v>
      </c>
      <c r="C487" s="2" t="s">
        <v>40</v>
      </c>
      <c r="D487" s="2" t="s">
        <v>64</v>
      </c>
      <c r="E487" s="2" t="s">
        <v>52</v>
      </c>
      <c r="F487" s="2" t="s">
        <v>1010</v>
      </c>
      <c r="G487" s="2" t="s">
        <v>1011</v>
      </c>
      <c r="H487" s="13">
        <v>4.425</v>
      </c>
      <c r="I487" s="15">
        <v>3</v>
      </c>
      <c r="J487" s="13">
        <v>8.6</v>
      </c>
      <c r="K487" s="13">
        <v>17.9</v>
      </c>
      <c r="L487" s="13"/>
      <c r="M487" s="13"/>
      <c r="N487" s="15"/>
      <c r="O487" s="16"/>
      <c r="P487" s="13"/>
      <c r="Q487" s="13"/>
      <c r="R487" s="17"/>
      <c r="S487" s="13"/>
      <c r="T487" s="17"/>
      <c r="U487" s="13"/>
      <c r="V487" s="16"/>
      <c r="W487" s="13"/>
      <c r="X487" s="13"/>
      <c r="Y487" s="14"/>
      <c r="Z487" s="2"/>
      <c r="AA487" s="13">
        <f>H487*I487/100</f>
      </c>
      <c r="AB487" s="13">
        <f>H487*J487/100</f>
      </c>
      <c r="AC487" s="15">
        <f>H487*K487</f>
      </c>
      <c r="AD487" s="15">
        <f>H487*M487</f>
      </c>
      <c r="AE487" s="13">
        <f>H487*L487/100</f>
      </c>
      <c r="AF487" s="13">
        <f>AA487+AB487+AE487</f>
      </c>
      <c r="AG487" s="13">
        <f>I487+J487+L487</f>
      </c>
      <c r="AH487" s="18">
        <f>$H487*I487</f>
      </c>
      <c r="AI487" s="18">
        <f>$H487*J487</f>
      </c>
      <c r="AJ487" s="18">
        <f>$H487*K487</f>
      </c>
      <c r="AK487" s="18">
        <f>$H487*L487</f>
      </c>
      <c r="AL487" s="18">
        <f>$H487*M487</f>
      </c>
      <c r="AM487" s="14"/>
      <c r="AN487" s="14"/>
      <c r="AO487" s="14"/>
    </row>
    <row x14ac:dyDescent="0.25" r="488" customHeight="1" ht="17.25">
      <c r="A488" s="2" t="s">
        <v>1013</v>
      </c>
      <c r="B488" s="2" t="s">
        <v>1009</v>
      </c>
      <c r="C488" s="2" t="s">
        <v>40</v>
      </c>
      <c r="D488" s="2" t="s">
        <v>41</v>
      </c>
      <c r="E488" s="12" t="s">
        <v>42</v>
      </c>
      <c r="F488" s="2" t="s">
        <v>121</v>
      </c>
      <c r="G488" s="2" t="s">
        <v>1014</v>
      </c>
      <c r="H488" s="13">
        <v>0.22</v>
      </c>
      <c r="I488" s="13">
        <v>2.1</v>
      </c>
      <c r="J488" s="13">
        <v>9.3</v>
      </c>
      <c r="K488" s="14"/>
      <c r="L488" s="13">
        <v>0.7</v>
      </c>
      <c r="M488" s="13"/>
      <c r="N488" s="15"/>
      <c r="O488" s="16"/>
      <c r="P488" s="13"/>
      <c r="Q488" s="13"/>
      <c r="R488" s="17"/>
      <c r="S488" s="13"/>
      <c r="T488" s="17"/>
      <c r="U488" s="13"/>
      <c r="V488" s="16"/>
      <c r="W488" s="13"/>
      <c r="X488" s="13"/>
      <c r="Y488" s="14"/>
      <c r="Z488" s="2"/>
      <c r="AA488" s="13">
        <f>H488*I488/100</f>
      </c>
      <c r="AB488" s="13">
        <f>H488*J488/100</f>
      </c>
      <c r="AC488" s="15">
        <f>H488*K488</f>
      </c>
      <c r="AD488" s="15">
        <f>H488*M488</f>
      </c>
      <c r="AE488" s="13">
        <f>H488*L488/100</f>
      </c>
      <c r="AF488" s="13">
        <f>AA488+AB488+AE488</f>
      </c>
      <c r="AG488" s="13">
        <f>I488+J488+L488</f>
      </c>
      <c r="AH488" s="18">
        <f>$H488*I488</f>
      </c>
      <c r="AI488" s="18">
        <f>$H488*J488</f>
      </c>
      <c r="AJ488" s="18">
        <f>$H488*K488</f>
      </c>
      <c r="AK488" s="18">
        <f>$H488*L488</f>
      </c>
      <c r="AL488" s="18">
        <f>$H488*M488</f>
      </c>
      <c r="AM488" s="14"/>
      <c r="AN488" s="14"/>
      <c r="AO488" s="14"/>
    </row>
    <row x14ac:dyDescent="0.25" r="489" customHeight="1" ht="17.25">
      <c r="A489" s="2" t="s">
        <v>1015</v>
      </c>
      <c r="B489" s="2" t="s">
        <v>1009</v>
      </c>
      <c r="C489" s="2" t="s">
        <v>40</v>
      </c>
      <c r="D489" s="2" t="s">
        <v>64</v>
      </c>
      <c r="E489" s="2" t="s">
        <v>52</v>
      </c>
      <c r="F489" s="2" t="s">
        <v>121</v>
      </c>
      <c r="G489" s="2" t="s">
        <v>1016</v>
      </c>
      <c r="H489" s="15">
        <v>132</v>
      </c>
      <c r="I489" s="13">
        <v>0.4</v>
      </c>
      <c r="J489" s="15">
        <v>4</v>
      </c>
      <c r="K489" s="14"/>
      <c r="L489" s="13"/>
      <c r="M489" s="13"/>
      <c r="N489" s="15"/>
      <c r="O489" s="16"/>
      <c r="P489" s="13"/>
      <c r="Q489" s="13"/>
      <c r="R489" s="17"/>
      <c r="S489" s="13"/>
      <c r="T489" s="17"/>
      <c r="U489" s="13"/>
      <c r="V489" s="16"/>
      <c r="W489" s="13"/>
      <c r="X489" s="13"/>
      <c r="Y489" s="14"/>
      <c r="Z489" s="2"/>
      <c r="AA489" s="13">
        <f>H489*I489/100</f>
      </c>
      <c r="AB489" s="13">
        <f>H489*J489/100</f>
      </c>
      <c r="AC489" s="15">
        <f>H489*K489</f>
      </c>
      <c r="AD489" s="15">
        <f>H489*M489</f>
      </c>
      <c r="AE489" s="13">
        <f>H489*L489/100</f>
      </c>
      <c r="AF489" s="13">
        <f>AA489+AB489+AE489</f>
      </c>
      <c r="AG489" s="13">
        <f>I489+J489+L489</f>
      </c>
      <c r="AH489" s="18">
        <f>$H489*I489</f>
      </c>
      <c r="AI489" s="18">
        <f>$H489*J489</f>
      </c>
      <c r="AJ489" s="18">
        <f>$H489*K489</f>
      </c>
      <c r="AK489" s="18">
        <f>$H489*L489</f>
      </c>
      <c r="AL489" s="18">
        <f>$H489*M489</f>
      </c>
      <c r="AM489" s="14"/>
      <c r="AN489" s="14"/>
      <c r="AO489" s="14"/>
    </row>
    <row x14ac:dyDescent="0.25" r="490" customHeight="1" ht="17.25">
      <c r="A490" s="2" t="s">
        <v>1017</v>
      </c>
      <c r="B490" s="2" t="s">
        <v>1009</v>
      </c>
      <c r="C490" s="2" t="s">
        <v>1018</v>
      </c>
      <c r="D490" s="2" t="s">
        <v>1019</v>
      </c>
      <c r="E490" s="2" t="s">
        <v>52</v>
      </c>
      <c r="F490" s="2" t="s">
        <v>1020</v>
      </c>
      <c r="G490" s="2" t="s">
        <v>108</v>
      </c>
      <c r="H490" s="14">
        <v>956</v>
      </c>
      <c r="I490" s="13"/>
      <c r="J490" s="16">
        <v>0.2351</v>
      </c>
      <c r="K490" s="14"/>
      <c r="L490" s="13"/>
      <c r="M490" s="13"/>
      <c r="N490" s="15"/>
      <c r="O490" s="16"/>
      <c r="P490" s="13"/>
      <c r="Q490" s="13"/>
      <c r="R490" s="17"/>
      <c r="S490" s="13"/>
      <c r="T490" s="17"/>
      <c r="U490" s="13"/>
      <c r="V490" s="13">
        <v>0.0273</v>
      </c>
      <c r="W490" s="13"/>
      <c r="X490" s="13"/>
      <c r="Y490" s="13">
        <v>1.08</v>
      </c>
      <c r="Z490" s="2" t="s">
        <v>1021</v>
      </c>
      <c r="AA490" s="13">
        <f>H490*I490/100</f>
      </c>
      <c r="AB490" s="13">
        <f>H490*J490/100</f>
      </c>
      <c r="AC490" s="15">
        <f>H490*K490</f>
      </c>
      <c r="AD490" s="15">
        <f>H490*M490</f>
      </c>
      <c r="AE490" s="13">
        <f>H490*L490/100</f>
      </c>
      <c r="AF490" s="13">
        <f>AA490+AB490+AE490</f>
      </c>
      <c r="AG490" s="13">
        <f>I490+J490+L490</f>
      </c>
      <c r="AH490" s="18">
        <f>$H490*I490</f>
      </c>
      <c r="AI490" s="18">
        <f>$H490*J490</f>
      </c>
      <c r="AJ490" s="18">
        <f>$H490*K490</f>
      </c>
      <c r="AK490" s="18">
        <f>$H490*L490</f>
      </c>
      <c r="AL490" s="18">
        <f>$H490*M490</f>
      </c>
      <c r="AM490" s="14"/>
      <c r="AN490" s="14"/>
      <c r="AO490" s="14"/>
    </row>
    <row x14ac:dyDescent="0.25" r="491" customHeight="1" ht="17.25">
      <c r="A491" s="2" t="s">
        <v>1022</v>
      </c>
      <c r="B491" s="2" t="s">
        <v>1009</v>
      </c>
      <c r="C491" s="2" t="s">
        <v>40</v>
      </c>
      <c r="D491" s="2" t="s">
        <v>64</v>
      </c>
      <c r="E491" s="2" t="s">
        <v>52</v>
      </c>
      <c r="F491" s="2" t="s">
        <v>1010</v>
      </c>
      <c r="G491" s="2" t="s">
        <v>1011</v>
      </c>
      <c r="H491" s="13">
        <v>0.2</v>
      </c>
      <c r="I491" s="13">
        <v>3.4</v>
      </c>
      <c r="J491" s="15">
        <v>9</v>
      </c>
      <c r="K491" s="14"/>
      <c r="L491" s="13"/>
      <c r="M491" s="13"/>
      <c r="N491" s="15"/>
      <c r="O491" s="16"/>
      <c r="P491" s="13"/>
      <c r="Q491" s="13"/>
      <c r="R491" s="17"/>
      <c r="S491" s="13"/>
      <c r="T491" s="17"/>
      <c r="U491" s="13"/>
      <c r="V491" s="16"/>
      <c r="W491" s="13"/>
      <c r="X491" s="13"/>
      <c r="Y491" s="14"/>
      <c r="Z491" s="2"/>
      <c r="AA491" s="13">
        <f>H491*I491/100</f>
      </c>
      <c r="AB491" s="13">
        <f>H491*J491/100</f>
      </c>
      <c r="AC491" s="15">
        <f>H491*K491</f>
      </c>
      <c r="AD491" s="15">
        <f>H491*M491</f>
      </c>
      <c r="AE491" s="13">
        <f>H491*L491/100</f>
      </c>
      <c r="AF491" s="13">
        <f>AA491+AB491+AE491</f>
      </c>
      <c r="AG491" s="13">
        <f>I491+J491+L491</f>
      </c>
      <c r="AH491" s="18">
        <f>$H491*I491</f>
      </c>
      <c r="AI491" s="18">
        <f>$H491*J491</f>
      </c>
      <c r="AJ491" s="18">
        <f>$H491*K491</f>
      </c>
      <c r="AK491" s="18">
        <f>$H491*L491</f>
      </c>
      <c r="AL491" s="18">
        <f>$H491*M491</f>
      </c>
      <c r="AM491" s="14"/>
      <c r="AN491" s="14"/>
      <c r="AO491" s="14"/>
    </row>
    <row x14ac:dyDescent="0.25" r="492" customHeight="1" ht="17.25">
      <c r="A492" s="2" t="s">
        <v>1023</v>
      </c>
      <c r="B492" s="2" t="s">
        <v>1009</v>
      </c>
      <c r="C492" s="2" t="s">
        <v>40</v>
      </c>
      <c r="D492" s="2" t="s">
        <v>64</v>
      </c>
      <c r="E492" s="2" t="s">
        <v>52</v>
      </c>
      <c r="F492" s="2" t="s">
        <v>1010</v>
      </c>
      <c r="G492" s="2" t="s">
        <v>1011</v>
      </c>
      <c r="H492" s="13">
        <v>1.7</v>
      </c>
      <c r="I492" s="13">
        <v>2.5</v>
      </c>
      <c r="J492" s="13">
        <v>6.9</v>
      </c>
      <c r="K492" s="14"/>
      <c r="L492" s="13"/>
      <c r="M492" s="13"/>
      <c r="N492" s="15"/>
      <c r="O492" s="16"/>
      <c r="P492" s="13"/>
      <c r="Q492" s="13"/>
      <c r="R492" s="17"/>
      <c r="S492" s="13"/>
      <c r="T492" s="17"/>
      <c r="U492" s="13"/>
      <c r="V492" s="16"/>
      <c r="W492" s="13"/>
      <c r="X492" s="13"/>
      <c r="Y492" s="14"/>
      <c r="Z492" s="2"/>
      <c r="AA492" s="13">
        <f>H492*I492/100</f>
      </c>
      <c r="AB492" s="13">
        <f>H492*J492/100</f>
      </c>
      <c r="AC492" s="15">
        <f>H492*K492</f>
      </c>
      <c r="AD492" s="15">
        <f>H492*M492</f>
      </c>
      <c r="AE492" s="13">
        <f>H492*L492/100</f>
      </c>
      <c r="AF492" s="13">
        <f>AA492+AB492+AE492</f>
      </c>
      <c r="AG492" s="13">
        <f>I492+J492+L492</f>
      </c>
      <c r="AH492" s="18">
        <f>$H492*I492</f>
      </c>
      <c r="AI492" s="18">
        <f>$H492*J492</f>
      </c>
      <c r="AJ492" s="18">
        <f>$H492*K492</f>
      </c>
      <c r="AK492" s="18">
        <f>$H492*L492</f>
      </c>
      <c r="AL492" s="18">
        <f>$H492*M492</f>
      </c>
      <c r="AM492" s="14"/>
      <c r="AN492" s="14"/>
      <c r="AO492" s="14"/>
    </row>
    <row x14ac:dyDescent="0.25" r="493" customHeight="1" ht="17.25">
      <c r="A493" s="2" t="s">
        <v>1024</v>
      </c>
      <c r="B493" s="2" t="s">
        <v>1025</v>
      </c>
      <c r="C493" s="2" t="s">
        <v>56</v>
      </c>
      <c r="D493" s="2" t="s">
        <v>75</v>
      </c>
      <c r="E493" s="2" t="s">
        <v>52</v>
      </c>
      <c r="F493" s="2" t="s">
        <v>1026</v>
      </c>
      <c r="G493" s="2" t="s">
        <v>617</v>
      </c>
      <c r="H493" s="13">
        <f>27.1+4.6</f>
      </c>
      <c r="I493" s="13">
        <f>(0.71*27.1+0.34*4.6)/$H493</f>
      </c>
      <c r="J493" s="13">
        <f>(1.28*27.1+0.66*4.6)/$H493</f>
      </c>
      <c r="K493" s="17">
        <f>(422*27.1+254*4.6)/$H493</f>
      </c>
      <c r="L493" s="13"/>
      <c r="M493" s="13">
        <f>(0.43*27.1+0.59*4.6)/$H493</f>
      </c>
      <c r="N493" s="15"/>
      <c r="O493" s="16"/>
      <c r="P493" s="13"/>
      <c r="Q493" s="13"/>
      <c r="R493" s="17"/>
      <c r="S493" s="13"/>
      <c r="T493" s="17"/>
      <c r="U493" s="13"/>
      <c r="V493" s="16"/>
      <c r="W493" s="13"/>
      <c r="X493" s="13"/>
      <c r="Y493" s="14"/>
      <c r="Z493" s="2"/>
      <c r="AA493" s="13">
        <f>H493*I493/100</f>
      </c>
      <c r="AB493" s="13">
        <f>H493*J493/100</f>
      </c>
      <c r="AC493" s="15">
        <f>H493*K493</f>
      </c>
      <c r="AD493" s="15">
        <f>H493*M493</f>
      </c>
      <c r="AE493" s="13">
        <f>H493*L493/100</f>
      </c>
      <c r="AF493" s="13">
        <f>AA493+AB493+AE493</f>
      </c>
      <c r="AG493" s="13">
        <f>I493+J493+L493</f>
      </c>
      <c r="AH493" s="18">
        <f>$H493*I493</f>
      </c>
      <c r="AI493" s="18">
        <f>$H493*J493</f>
      </c>
      <c r="AJ493" s="18">
        <f>$H493*K493</f>
      </c>
      <c r="AK493" s="18">
        <f>$H493*L493</f>
      </c>
      <c r="AL493" s="18">
        <f>$H493*M493</f>
      </c>
      <c r="AM493" s="14"/>
      <c r="AN493" s="14"/>
      <c r="AO493" s="14"/>
    </row>
    <row x14ac:dyDescent="0.25" r="494" customHeight="1" ht="17.25">
      <c r="A494" s="2" t="s">
        <v>1027</v>
      </c>
      <c r="B494" s="2" t="s">
        <v>1025</v>
      </c>
      <c r="C494" s="2" t="s">
        <v>851</v>
      </c>
      <c r="D494" s="2" t="s">
        <v>1028</v>
      </c>
      <c r="E494" s="2" t="s">
        <v>52</v>
      </c>
      <c r="F494" s="2" t="s">
        <v>1029</v>
      </c>
      <c r="G494" s="2" t="s">
        <v>549</v>
      </c>
      <c r="H494" s="16">
        <f>0.571482+1.320154+0.169705+0.007366+0.068688+0.036291</f>
      </c>
      <c r="I494" s="13">
        <f>(2.52*0.571482+2.36*1.320154+1.96*0.169705+3.26*0.007366+2.53*0.068688+2.03*0.036291)/$H494</f>
      </c>
      <c r="J494" s="13">
        <f>(8.79*0.571482+6.69*1.320154+4.42*0.169705+4.04*0.007366+3.15*0.068688+2.79*0.036291)/$H494</f>
      </c>
      <c r="K494" s="15">
        <f>(14.01*0.571482+14.35*1.320154+12.53*0.169705+14.98*0.007366+12.23*0.068688+10.47*0.036291)/$H494</f>
      </c>
      <c r="L494" s="13"/>
      <c r="M494" s="13"/>
      <c r="N494" s="15"/>
      <c r="O494" s="16"/>
      <c r="P494" s="13"/>
      <c r="Q494" s="13"/>
      <c r="R494" s="17"/>
      <c r="S494" s="13"/>
      <c r="T494" s="17"/>
      <c r="U494" s="13"/>
      <c r="V494" s="16"/>
      <c r="W494" s="13"/>
      <c r="X494" s="13"/>
      <c r="Y494" s="14"/>
      <c r="Z494" s="2"/>
      <c r="AA494" s="13">
        <f>H494*I494/100</f>
      </c>
      <c r="AB494" s="13">
        <f>H494*J494/100</f>
      </c>
      <c r="AC494" s="15">
        <f>H494*K494</f>
      </c>
      <c r="AD494" s="15">
        <f>H494*M494</f>
      </c>
      <c r="AE494" s="13">
        <f>H494*L494/100</f>
      </c>
      <c r="AF494" s="13">
        <f>AA494+AB494+AE494</f>
      </c>
      <c r="AG494" s="13">
        <f>I494+J494+L494</f>
      </c>
      <c r="AH494" s="18">
        <f>$H494*I494</f>
      </c>
      <c r="AI494" s="18">
        <f>$H494*J494</f>
      </c>
      <c r="AJ494" s="18">
        <f>$H494*K494</f>
      </c>
      <c r="AK494" s="18">
        <f>$H494*L494</f>
      </c>
      <c r="AL494" s="18">
        <f>$H494*M494</f>
      </c>
      <c r="AM494" s="14"/>
      <c r="AN494" s="14"/>
      <c r="AO494" s="14"/>
    </row>
    <row x14ac:dyDescent="0.25" r="495" customHeight="1" ht="17.25">
      <c r="A495" s="2" t="s">
        <v>1030</v>
      </c>
      <c r="B495" s="2" t="s">
        <v>1031</v>
      </c>
      <c r="C495" s="2" t="s">
        <v>159</v>
      </c>
      <c r="D495" s="2"/>
      <c r="E495" s="2" t="s">
        <v>52</v>
      </c>
      <c r="F495" s="2" t="s">
        <v>659</v>
      </c>
      <c r="G495" s="2" t="s">
        <v>66</v>
      </c>
      <c r="H495" s="13">
        <f>1.06+2.86+2.5</f>
      </c>
      <c r="I495" s="13">
        <f>(3.45*1.06+1.85*2.86+2.26*2.5)/$H495</f>
      </c>
      <c r="J495" s="13">
        <f>(6.46*1.06+5.23*2.86+5.57*2.5)/$H495</f>
      </c>
      <c r="K495" s="15">
        <f>(116.2*1.06+54.8*2.86+49.1*2.5)/$H495</f>
      </c>
      <c r="L495" s="13"/>
      <c r="M495" s="13"/>
      <c r="N495" s="15"/>
      <c r="O495" s="16"/>
      <c r="P495" s="13"/>
      <c r="Q495" s="13"/>
      <c r="R495" s="17"/>
      <c r="S495" s="13"/>
      <c r="T495" s="17"/>
      <c r="U495" s="13"/>
      <c r="V495" s="16"/>
      <c r="W495" s="13"/>
      <c r="X495" s="13"/>
      <c r="Y495" s="14"/>
      <c r="Z495" s="2"/>
      <c r="AA495" s="13">
        <f>H495*I495/100</f>
      </c>
      <c r="AB495" s="13">
        <f>H495*J495/100</f>
      </c>
      <c r="AC495" s="15">
        <f>H495*K495</f>
      </c>
      <c r="AD495" s="15">
        <f>H495*M495</f>
      </c>
      <c r="AE495" s="13">
        <f>H495*L495/100</f>
      </c>
      <c r="AF495" s="13">
        <f>AA495+AB495+AE495</f>
      </c>
      <c r="AG495" s="13">
        <f>I495+J495+L495</f>
      </c>
      <c r="AH495" s="18">
        <f>$H495*I495</f>
      </c>
      <c r="AI495" s="18">
        <f>$H495*J495</f>
      </c>
      <c r="AJ495" s="18">
        <f>$H495*K495</f>
      </c>
      <c r="AK495" s="18">
        <f>$H495*L495</f>
      </c>
      <c r="AL495" s="18">
        <f>$H495*M495</f>
      </c>
      <c r="AM495" s="14"/>
      <c r="AN495" s="14"/>
      <c r="AO495" s="14"/>
    </row>
    <row x14ac:dyDescent="0.25" r="496" customHeight="1" ht="17.25">
      <c r="A496" s="2" t="s">
        <v>1032</v>
      </c>
      <c r="B496" s="2" t="s">
        <v>1033</v>
      </c>
      <c r="C496" s="2" t="s">
        <v>50</v>
      </c>
      <c r="D496" s="2"/>
      <c r="E496" s="12" t="s">
        <v>42</v>
      </c>
      <c r="F496" s="2" t="s">
        <v>1034</v>
      </c>
      <c r="G496" s="2" t="s">
        <v>617</v>
      </c>
      <c r="H496" s="13">
        <v>0.1</v>
      </c>
      <c r="I496" s="13"/>
      <c r="J496" s="13">
        <v>3.5</v>
      </c>
      <c r="K496" s="14">
        <v>42</v>
      </c>
      <c r="L496" s="13">
        <v>0.8</v>
      </c>
      <c r="M496" s="13">
        <v>0.52</v>
      </c>
      <c r="N496" s="15"/>
      <c r="O496" s="16"/>
      <c r="P496" s="13"/>
      <c r="Q496" s="13"/>
      <c r="R496" s="17"/>
      <c r="S496" s="13"/>
      <c r="T496" s="17"/>
      <c r="U496" s="13"/>
      <c r="V496" s="16"/>
      <c r="W496" s="13"/>
      <c r="X496" s="13"/>
      <c r="Y496" s="14"/>
      <c r="Z496" s="2"/>
      <c r="AA496" s="13">
        <f>H496*I496/100</f>
      </c>
      <c r="AB496" s="13">
        <f>H496*J496/100</f>
      </c>
      <c r="AC496" s="15">
        <f>H496*K496</f>
      </c>
      <c r="AD496" s="15">
        <f>H496*M496</f>
      </c>
      <c r="AE496" s="13">
        <f>H496*L496/100</f>
      </c>
      <c r="AF496" s="13">
        <f>AA496+AB496+AE496</f>
      </c>
      <c r="AG496" s="13">
        <f>I496+J496+L496</f>
      </c>
      <c r="AH496" s="18">
        <f>$H496*I496</f>
      </c>
      <c r="AI496" s="18">
        <f>$H496*J496</f>
      </c>
      <c r="AJ496" s="18">
        <f>$H496*K496</f>
      </c>
      <c r="AK496" s="18">
        <f>$H496*L496</f>
      </c>
      <c r="AL496" s="18">
        <f>$H496*M496</f>
      </c>
      <c r="AM496" s="14"/>
      <c r="AN496" s="14"/>
      <c r="AO496" s="14"/>
    </row>
    <row x14ac:dyDescent="0.25" r="497" customHeight="1" ht="17.25">
      <c r="A497" s="2" t="s">
        <v>1035</v>
      </c>
      <c r="B497" s="2" t="s">
        <v>1033</v>
      </c>
      <c r="C497" s="2" t="s">
        <v>40</v>
      </c>
      <c r="D497" s="2" t="s">
        <v>41</v>
      </c>
      <c r="E497" s="12" t="s">
        <v>42</v>
      </c>
      <c r="F497" s="2" t="s">
        <v>1036</v>
      </c>
      <c r="G497" s="2" t="s">
        <v>877</v>
      </c>
      <c r="H497" s="13">
        <v>8.8</v>
      </c>
      <c r="I497" s="13">
        <v>3.1</v>
      </c>
      <c r="J497" s="13">
        <v>4.2</v>
      </c>
      <c r="K497" s="14"/>
      <c r="L497" s="13">
        <v>1.6</v>
      </c>
      <c r="M497" s="13"/>
      <c r="N497" s="15"/>
      <c r="O497" s="16"/>
      <c r="P497" s="13"/>
      <c r="Q497" s="13"/>
      <c r="R497" s="17"/>
      <c r="S497" s="13"/>
      <c r="T497" s="17"/>
      <c r="U497" s="13"/>
      <c r="V497" s="16"/>
      <c r="W497" s="13"/>
      <c r="X497" s="13"/>
      <c r="Y497" s="14"/>
      <c r="Z497" s="2"/>
      <c r="AA497" s="13">
        <f>H497*I497/100</f>
      </c>
      <c r="AB497" s="13">
        <f>H497*J497/100</f>
      </c>
      <c r="AC497" s="15">
        <f>H497*K497</f>
      </c>
      <c r="AD497" s="15">
        <f>H497*M497</f>
      </c>
      <c r="AE497" s="13">
        <f>H497*L497/100</f>
      </c>
      <c r="AF497" s="13">
        <f>AA497+AB497+AE497</f>
      </c>
      <c r="AG497" s="13">
        <f>I497+J497+L497</f>
      </c>
      <c r="AH497" s="18">
        <f>$H497*I497</f>
      </c>
      <c r="AI497" s="18">
        <f>$H497*J497</f>
      </c>
      <c r="AJ497" s="18">
        <f>$H497*K497</f>
      </c>
      <c r="AK497" s="18">
        <f>$H497*L497</f>
      </c>
      <c r="AL497" s="18">
        <f>$H497*M497</f>
      </c>
      <c r="AM497" s="14"/>
      <c r="AN497" s="14"/>
      <c r="AO497" s="14"/>
    </row>
    <row x14ac:dyDescent="0.25" r="498" customHeight="1" ht="17.25">
      <c r="A498" s="2" t="s">
        <v>1037</v>
      </c>
      <c r="B498" s="2" t="s">
        <v>1033</v>
      </c>
      <c r="C498" s="2" t="s">
        <v>40</v>
      </c>
      <c r="D498" s="2" t="s">
        <v>64</v>
      </c>
      <c r="E498" s="12" t="s">
        <v>42</v>
      </c>
      <c r="F498" s="2" t="s">
        <v>1034</v>
      </c>
      <c r="G498" s="2" t="s">
        <v>617</v>
      </c>
      <c r="H498" s="13">
        <v>8.3</v>
      </c>
      <c r="I498" s="14">
        <v>6</v>
      </c>
      <c r="J498" s="14">
        <v>6</v>
      </c>
      <c r="K498" s="14"/>
      <c r="L498" s="14">
        <v>2</v>
      </c>
      <c r="M498" s="13"/>
      <c r="N498" s="15"/>
      <c r="O498" s="16"/>
      <c r="P498" s="13"/>
      <c r="Q498" s="13"/>
      <c r="R498" s="17"/>
      <c r="S498" s="13"/>
      <c r="T498" s="17"/>
      <c r="U498" s="13"/>
      <c r="V498" s="16"/>
      <c r="W498" s="13"/>
      <c r="X498" s="13"/>
      <c r="Y498" s="14"/>
      <c r="Z498" s="2"/>
      <c r="AA498" s="13">
        <f>H498*I498/100</f>
      </c>
      <c r="AB498" s="13">
        <f>H498*J498/100</f>
      </c>
      <c r="AC498" s="15">
        <f>H498*K498</f>
      </c>
      <c r="AD498" s="15">
        <f>H498*M498</f>
      </c>
      <c r="AE498" s="13">
        <f>H498*L498/100</f>
      </c>
      <c r="AF498" s="13">
        <f>AA498+AB498+AE498</f>
      </c>
      <c r="AG498" s="13">
        <f>I498+J498+L498</f>
      </c>
      <c r="AH498" s="18">
        <f>$H498*I498</f>
      </c>
      <c r="AI498" s="18">
        <f>$H498*J498</f>
      </c>
      <c r="AJ498" s="18">
        <f>$H498*K498</f>
      </c>
      <c r="AK498" s="18">
        <f>$H498*L498</f>
      </c>
      <c r="AL498" s="18">
        <f>$H498*M498</f>
      </c>
      <c r="AM498" s="14"/>
      <c r="AN498" s="14"/>
      <c r="AO498" s="14"/>
    </row>
    <row x14ac:dyDescent="0.25" r="499" customHeight="1" ht="17.25">
      <c r="A499" s="2" t="s">
        <v>1038</v>
      </c>
      <c r="B499" s="2" t="s">
        <v>1033</v>
      </c>
      <c r="C499" s="2" t="s">
        <v>50</v>
      </c>
      <c r="D499" s="2"/>
      <c r="E499" s="2" t="s">
        <v>52</v>
      </c>
      <c r="F499" s="2" t="s">
        <v>1039</v>
      </c>
      <c r="G499" s="2" t="s">
        <v>471</v>
      </c>
      <c r="H499" s="13">
        <f>1.86+0.149</f>
      </c>
      <c r="I499" s="13">
        <f>(3.83*1.86+1.89*0.149)/$H499</f>
      </c>
      <c r="J499" s="13">
        <f>(5.8*1.86+4.56*0.149)/$H499</f>
      </c>
      <c r="K499" s="17">
        <f>(36*1.86+29*0.149)/$H499</f>
      </c>
      <c r="L499" s="13">
        <f>(2.62*1.86+1.7*0.149)/$H499</f>
      </c>
      <c r="M499" s="13">
        <f>(0.48*1.86+0.44*0.149)/$H499</f>
      </c>
      <c r="N499" s="15"/>
      <c r="O499" s="16"/>
      <c r="P499" s="13"/>
      <c r="Q499" s="13"/>
      <c r="R499" s="17"/>
      <c r="S499" s="13"/>
      <c r="T499" s="17"/>
      <c r="U499" s="13"/>
      <c r="V499" s="16"/>
      <c r="W499" s="13"/>
      <c r="X499" s="13"/>
      <c r="Y499" s="14"/>
      <c r="Z499" s="2"/>
      <c r="AA499" s="13">
        <f>H499*I499/100</f>
      </c>
      <c r="AB499" s="13">
        <f>H499*J499/100</f>
      </c>
      <c r="AC499" s="15">
        <f>H499*K499</f>
      </c>
      <c r="AD499" s="15">
        <f>H499*M499</f>
      </c>
      <c r="AE499" s="13">
        <f>H499*L499/100</f>
      </c>
      <c r="AF499" s="13">
        <f>AA499+AB499+AE499</f>
      </c>
      <c r="AG499" s="13">
        <f>I499+J499+L499</f>
      </c>
      <c r="AH499" s="18">
        <f>$H499*I499</f>
      </c>
      <c r="AI499" s="18">
        <f>$H499*J499</f>
      </c>
      <c r="AJ499" s="18">
        <f>$H499*K499</f>
      </c>
      <c r="AK499" s="18">
        <f>$H499*L499</f>
      </c>
      <c r="AL499" s="18">
        <f>$H499*M499</f>
      </c>
      <c r="AM499" s="14"/>
      <c r="AN499" s="14"/>
      <c r="AO499" s="14"/>
    </row>
    <row x14ac:dyDescent="0.25" r="500" customHeight="1" ht="17.25">
      <c r="A500" s="2" t="s">
        <v>1040</v>
      </c>
      <c r="B500" s="2" t="s">
        <v>1033</v>
      </c>
      <c r="C500" s="2" t="s">
        <v>40</v>
      </c>
      <c r="D500" s="2" t="s">
        <v>64</v>
      </c>
      <c r="E500" s="12" t="s">
        <v>42</v>
      </c>
      <c r="F500" s="2" t="s">
        <v>43</v>
      </c>
      <c r="G500" s="2" t="s">
        <v>46</v>
      </c>
      <c r="H500" s="13">
        <v>1.22</v>
      </c>
      <c r="I500" s="13">
        <v>2.57</v>
      </c>
      <c r="J500" s="13">
        <v>3.84</v>
      </c>
      <c r="K500" s="14"/>
      <c r="L500" s="13"/>
      <c r="M500" s="13"/>
      <c r="N500" s="15"/>
      <c r="O500" s="16"/>
      <c r="P500" s="13"/>
      <c r="Q500" s="13"/>
      <c r="R500" s="17"/>
      <c r="S500" s="13"/>
      <c r="T500" s="17"/>
      <c r="U500" s="13"/>
      <c r="V500" s="16"/>
      <c r="W500" s="13"/>
      <c r="X500" s="13"/>
      <c r="Y500" s="14"/>
      <c r="Z500" s="2"/>
      <c r="AA500" s="13">
        <f>H500*I500/100</f>
      </c>
      <c r="AB500" s="13">
        <f>H500*J500/100</f>
      </c>
      <c r="AC500" s="15">
        <f>H500*K500</f>
      </c>
      <c r="AD500" s="15">
        <f>H500*M500</f>
      </c>
      <c r="AE500" s="13">
        <f>H500*L500/100</f>
      </c>
      <c r="AF500" s="13">
        <f>AA500+AB500+AE500</f>
      </c>
      <c r="AG500" s="13">
        <f>I500+J500+L500</f>
      </c>
      <c r="AH500" s="18">
        <f>$H500*I500</f>
      </c>
      <c r="AI500" s="18">
        <f>$H500*J500</f>
      </c>
      <c r="AJ500" s="18">
        <f>$H500*K500</f>
      </c>
      <c r="AK500" s="18">
        <f>$H500*L500</f>
      </c>
      <c r="AL500" s="18">
        <f>$H500*M500</f>
      </c>
      <c r="AM500" s="14"/>
      <c r="AN500" s="14"/>
      <c r="AO500" s="14"/>
    </row>
    <row x14ac:dyDescent="0.25" r="501" customHeight="1" ht="17.25">
      <c r="A501" s="2" t="s">
        <v>1041</v>
      </c>
      <c r="B501" s="2" t="s">
        <v>1033</v>
      </c>
      <c r="C501" s="2" t="s">
        <v>40</v>
      </c>
      <c r="D501" s="2" t="s">
        <v>64</v>
      </c>
      <c r="E501" s="12" t="s">
        <v>42</v>
      </c>
      <c r="F501" s="2" t="s">
        <v>43</v>
      </c>
      <c r="G501" s="2" t="s">
        <v>46</v>
      </c>
      <c r="H501" s="14">
        <v>16</v>
      </c>
      <c r="I501" s="13">
        <v>1.17</v>
      </c>
      <c r="J501" s="13">
        <v>5.85</v>
      </c>
      <c r="K501" s="14"/>
      <c r="L501" s="13"/>
      <c r="M501" s="13"/>
      <c r="N501" s="15"/>
      <c r="O501" s="16"/>
      <c r="P501" s="13"/>
      <c r="Q501" s="13"/>
      <c r="R501" s="17"/>
      <c r="S501" s="13"/>
      <c r="T501" s="17"/>
      <c r="U501" s="13"/>
      <c r="V501" s="16"/>
      <c r="W501" s="13"/>
      <c r="X501" s="13"/>
      <c r="Y501" s="14"/>
      <c r="Z501" s="2"/>
      <c r="AA501" s="13">
        <f>H501*I501/100</f>
      </c>
      <c r="AB501" s="13">
        <f>H501*J501/100</f>
      </c>
      <c r="AC501" s="15">
        <f>H501*K501</f>
      </c>
      <c r="AD501" s="15">
        <f>H501*M501</f>
      </c>
      <c r="AE501" s="13">
        <f>H501*L501/100</f>
      </c>
      <c r="AF501" s="13">
        <f>AA501+AB501+AE501</f>
      </c>
      <c r="AG501" s="13">
        <f>I501+J501+L501</f>
      </c>
      <c r="AH501" s="18">
        <f>$H501*I501</f>
      </c>
      <c r="AI501" s="18">
        <f>$H501*J501</f>
      </c>
      <c r="AJ501" s="18">
        <f>$H501*K501</f>
      </c>
      <c r="AK501" s="18">
        <f>$H501*L501</f>
      </c>
      <c r="AL501" s="18">
        <f>$H501*M501</f>
      </c>
      <c r="AM501" s="14"/>
      <c r="AN501" s="14"/>
      <c r="AO501" s="14"/>
    </row>
    <row x14ac:dyDescent="0.25" r="502" customHeight="1" ht="17.25">
      <c r="A502" s="2" t="s">
        <v>1042</v>
      </c>
      <c r="B502" s="2" t="s">
        <v>1033</v>
      </c>
      <c r="C502" s="2" t="s">
        <v>40</v>
      </c>
      <c r="D502" s="2" t="s">
        <v>64</v>
      </c>
      <c r="E502" s="2" t="s">
        <v>52</v>
      </c>
      <c r="F502" s="2" t="s">
        <v>1043</v>
      </c>
      <c r="G502" s="2" t="s">
        <v>1016</v>
      </c>
      <c r="H502" s="13">
        <f>5.4+10.9</f>
      </c>
      <c r="I502" s="15">
        <f>(1.6*5.4+1.7*10.9)/$H502</f>
      </c>
      <c r="J502" s="15">
        <f>(4.5*5.4+3.8*10.9)/$H502</f>
      </c>
      <c r="K502" s="17">
        <f>(66*5.4+55*10.9)/$H502</f>
      </c>
      <c r="L502" s="13"/>
      <c r="M502" s="13"/>
      <c r="N502" s="15"/>
      <c r="O502" s="16"/>
      <c r="P502" s="13"/>
      <c r="Q502" s="13"/>
      <c r="R502" s="17"/>
      <c r="S502" s="13"/>
      <c r="T502" s="17"/>
      <c r="U502" s="13"/>
      <c r="V502" s="16"/>
      <c r="W502" s="13"/>
      <c r="X502" s="13"/>
      <c r="Y502" s="14"/>
      <c r="Z502" s="2"/>
      <c r="AA502" s="13">
        <f>H502*I502/100</f>
      </c>
      <c r="AB502" s="13">
        <f>H502*J502/100</f>
      </c>
      <c r="AC502" s="15">
        <f>H502*K502</f>
      </c>
      <c r="AD502" s="15">
        <f>H502*M502</f>
      </c>
      <c r="AE502" s="13">
        <f>H502*L502/100</f>
      </c>
      <c r="AF502" s="13">
        <f>AA502+AB502+AE502</f>
      </c>
      <c r="AG502" s="13">
        <f>I502+J502+L502</f>
      </c>
      <c r="AH502" s="18">
        <f>$H502*I502</f>
      </c>
      <c r="AI502" s="18">
        <f>$H502*J502</f>
      </c>
      <c r="AJ502" s="18">
        <f>$H502*K502</f>
      </c>
      <c r="AK502" s="18">
        <f>$H502*L502</f>
      </c>
      <c r="AL502" s="18">
        <f>$H502*M502</f>
      </c>
      <c r="AM502" s="14"/>
      <c r="AN502" s="14"/>
      <c r="AO502" s="14"/>
    </row>
    <row x14ac:dyDescent="0.25" r="503" customHeight="1" ht="17.25">
      <c r="A503" s="2" t="s">
        <v>1044</v>
      </c>
      <c r="B503" s="2" t="s">
        <v>1033</v>
      </c>
      <c r="C503" s="2" t="s">
        <v>40</v>
      </c>
      <c r="D503" s="2" t="s">
        <v>64</v>
      </c>
      <c r="E503" s="12" t="s">
        <v>42</v>
      </c>
      <c r="F503" s="2" t="s">
        <v>43</v>
      </c>
      <c r="G503" s="2" t="s">
        <v>46</v>
      </c>
      <c r="H503" s="14">
        <v>7</v>
      </c>
      <c r="I503" s="13">
        <v>4.6</v>
      </c>
      <c r="J503" s="13">
        <v>1.71</v>
      </c>
      <c r="K503" s="14"/>
      <c r="L503" s="13"/>
      <c r="M503" s="13"/>
      <c r="N503" s="15"/>
      <c r="O503" s="16"/>
      <c r="P503" s="13"/>
      <c r="Q503" s="13"/>
      <c r="R503" s="17"/>
      <c r="S503" s="13"/>
      <c r="T503" s="17"/>
      <c r="U503" s="13"/>
      <c r="V503" s="16"/>
      <c r="W503" s="13"/>
      <c r="X503" s="13"/>
      <c r="Y503" s="14"/>
      <c r="Z503" s="2"/>
      <c r="AA503" s="13">
        <f>H503*I503/100</f>
      </c>
      <c r="AB503" s="13">
        <f>H503*J503/100</f>
      </c>
      <c r="AC503" s="15">
        <f>H503*K503</f>
      </c>
      <c r="AD503" s="15">
        <f>H503*M503</f>
      </c>
      <c r="AE503" s="13">
        <f>H503*L503/100</f>
      </c>
      <c r="AF503" s="13">
        <f>AA503+AB503+AE503</f>
      </c>
      <c r="AG503" s="13">
        <f>I503+J503+L503</f>
      </c>
      <c r="AH503" s="18">
        <f>$H503*I503</f>
      </c>
      <c r="AI503" s="18">
        <f>$H503*J503</f>
      </c>
      <c r="AJ503" s="18">
        <f>$H503*K503</f>
      </c>
      <c r="AK503" s="18">
        <f>$H503*L503</f>
      </c>
      <c r="AL503" s="18">
        <f>$H503*M503</f>
      </c>
      <c r="AM503" s="14"/>
      <c r="AN503" s="14"/>
      <c r="AO503" s="14"/>
    </row>
    <row x14ac:dyDescent="0.25" r="504" customHeight="1" ht="17.25">
      <c r="A504" s="2" t="s">
        <v>1045</v>
      </c>
      <c r="B504" s="2" t="s">
        <v>1033</v>
      </c>
      <c r="C504" s="2" t="s">
        <v>50</v>
      </c>
      <c r="D504" s="2"/>
      <c r="E504" s="12" t="s">
        <v>42</v>
      </c>
      <c r="F504" s="2" t="s">
        <v>1034</v>
      </c>
      <c r="G504" s="2" t="s">
        <v>617</v>
      </c>
      <c r="H504" s="13">
        <v>3.5</v>
      </c>
      <c r="I504" s="13"/>
      <c r="J504" s="13">
        <v>1.3</v>
      </c>
      <c r="K504" s="14"/>
      <c r="L504" s="13">
        <v>1.7</v>
      </c>
      <c r="M504" s="13"/>
      <c r="N504" s="15"/>
      <c r="O504" s="16"/>
      <c r="P504" s="13"/>
      <c r="Q504" s="13"/>
      <c r="R504" s="17"/>
      <c r="S504" s="13"/>
      <c r="T504" s="17"/>
      <c r="U504" s="13"/>
      <c r="V504" s="16"/>
      <c r="W504" s="13"/>
      <c r="X504" s="13"/>
      <c r="Y504" s="14"/>
      <c r="Z504" s="2"/>
      <c r="AA504" s="13">
        <f>H504*I504/100</f>
      </c>
      <c r="AB504" s="13">
        <f>H504*J504/100</f>
      </c>
      <c r="AC504" s="15">
        <f>H504*K504</f>
      </c>
      <c r="AD504" s="15">
        <f>H504*M504</f>
      </c>
      <c r="AE504" s="13">
        <f>H504*L504/100</f>
      </c>
      <c r="AF504" s="13">
        <f>AA504+AB504+AE504</f>
      </c>
      <c r="AG504" s="13">
        <f>I504+J504+L504</f>
      </c>
      <c r="AH504" s="18">
        <f>$H504*I504</f>
      </c>
      <c r="AI504" s="18">
        <f>$H504*J504</f>
      </c>
      <c r="AJ504" s="18">
        <f>$H504*K504</f>
      </c>
      <c r="AK504" s="18">
        <f>$H504*L504</f>
      </c>
      <c r="AL504" s="18">
        <f>$H504*M504</f>
      </c>
      <c r="AM504" s="14"/>
      <c r="AN504" s="14"/>
      <c r="AO504" s="14"/>
    </row>
    <row x14ac:dyDescent="0.25" r="505" customHeight="1" ht="17.25">
      <c r="A505" s="2" t="s">
        <v>1046</v>
      </c>
      <c r="B505" s="2" t="s">
        <v>1033</v>
      </c>
      <c r="C505" s="2" t="s">
        <v>40</v>
      </c>
      <c r="D505" s="2" t="s">
        <v>64</v>
      </c>
      <c r="E505" s="12" t="s">
        <v>42</v>
      </c>
      <c r="F505" s="2" t="s">
        <v>43</v>
      </c>
      <c r="G505" s="2" t="s">
        <v>46</v>
      </c>
      <c r="H505" s="13">
        <v>0.23</v>
      </c>
      <c r="I505" s="13">
        <v>1.64</v>
      </c>
      <c r="J505" s="14">
        <v>1</v>
      </c>
      <c r="K505" s="14"/>
      <c r="L505" s="13"/>
      <c r="M505" s="13"/>
      <c r="N505" s="15"/>
      <c r="O505" s="16"/>
      <c r="P505" s="13"/>
      <c r="Q505" s="13"/>
      <c r="R505" s="17"/>
      <c r="S505" s="13"/>
      <c r="T505" s="17"/>
      <c r="U505" s="13"/>
      <c r="V505" s="16"/>
      <c r="W505" s="13"/>
      <c r="X505" s="13"/>
      <c r="Y505" s="14"/>
      <c r="Z505" s="2"/>
      <c r="AA505" s="13">
        <f>H505*I505/100</f>
      </c>
      <c r="AB505" s="13">
        <f>H505*J505/100</f>
      </c>
      <c r="AC505" s="15">
        <f>H505*K505</f>
      </c>
      <c r="AD505" s="15">
        <f>H505*M505</f>
      </c>
      <c r="AE505" s="13">
        <f>H505*L505/100</f>
      </c>
      <c r="AF505" s="13">
        <f>AA505+AB505+AE505</f>
      </c>
      <c r="AG505" s="13">
        <f>I505+J505+L505</f>
      </c>
      <c r="AH505" s="18">
        <f>$H505*I505</f>
      </c>
      <c r="AI505" s="18">
        <f>$H505*J505</f>
      </c>
      <c r="AJ505" s="18">
        <f>$H505*K505</f>
      </c>
      <c r="AK505" s="18">
        <f>$H505*L505</f>
      </c>
      <c r="AL505" s="18">
        <f>$H505*M505</f>
      </c>
      <c r="AM505" s="14"/>
      <c r="AN505" s="14"/>
      <c r="AO505" s="14"/>
    </row>
    <row x14ac:dyDescent="0.25" r="506" customHeight="1" ht="17.25">
      <c r="A506" s="2" t="s">
        <v>1047</v>
      </c>
      <c r="B506" s="2" t="s">
        <v>1033</v>
      </c>
      <c r="C506" s="2" t="s">
        <v>40</v>
      </c>
      <c r="D506" s="2" t="s">
        <v>64</v>
      </c>
      <c r="E506" s="2" t="s">
        <v>52</v>
      </c>
      <c r="F506" s="2" t="s">
        <v>43</v>
      </c>
      <c r="G506" s="2" t="s">
        <v>1048</v>
      </c>
      <c r="H506" s="13">
        <v>7.1</v>
      </c>
      <c r="I506" s="13">
        <v>0.86</v>
      </c>
      <c r="J506" s="13">
        <v>1.4</v>
      </c>
      <c r="K506" s="14"/>
      <c r="L506" s="13">
        <v>0.36</v>
      </c>
      <c r="M506" s="13"/>
      <c r="N506" s="15"/>
      <c r="O506" s="16"/>
      <c r="P506" s="13"/>
      <c r="Q506" s="13"/>
      <c r="R506" s="17"/>
      <c r="S506" s="13"/>
      <c r="T506" s="17"/>
      <c r="U506" s="13"/>
      <c r="V506" s="16"/>
      <c r="W506" s="13"/>
      <c r="X506" s="13"/>
      <c r="Y506" s="14"/>
      <c r="Z506" s="2"/>
      <c r="AA506" s="13">
        <f>H506*I506/100</f>
      </c>
      <c r="AB506" s="13">
        <f>H506*J506/100</f>
      </c>
      <c r="AC506" s="15">
        <f>H506*K506</f>
      </c>
      <c r="AD506" s="15">
        <f>H506*M506</f>
      </c>
      <c r="AE506" s="13">
        <f>H506*L506/100</f>
      </c>
      <c r="AF506" s="13">
        <f>AA506+AB506+AE506</f>
      </c>
      <c r="AG506" s="13">
        <f>I506+J506+L506</f>
      </c>
      <c r="AH506" s="18">
        <f>$H506*I506</f>
      </c>
      <c r="AI506" s="18">
        <f>$H506*J506</f>
      </c>
      <c r="AJ506" s="18">
        <f>$H506*K506</f>
      </c>
      <c r="AK506" s="18">
        <f>$H506*L506</f>
      </c>
      <c r="AL506" s="18">
        <f>$H506*M506</f>
      </c>
      <c r="AM506" s="14"/>
      <c r="AN506" s="14"/>
      <c r="AO506" s="14"/>
    </row>
    <row x14ac:dyDescent="0.25" r="507" customHeight="1" ht="17.25">
      <c r="A507" s="2" t="s">
        <v>1049</v>
      </c>
      <c r="B507" s="2" t="s">
        <v>1033</v>
      </c>
      <c r="C507" s="2" t="s">
        <v>50</v>
      </c>
      <c r="D507" s="2"/>
      <c r="E507" s="12" t="s">
        <v>42</v>
      </c>
      <c r="F507" s="2" t="s">
        <v>1034</v>
      </c>
      <c r="G507" s="2" t="s">
        <v>617</v>
      </c>
      <c r="H507" s="13">
        <v>0.3</v>
      </c>
      <c r="I507" s="13">
        <v>0.5</v>
      </c>
      <c r="J507" s="13">
        <v>6.4</v>
      </c>
      <c r="K507" s="14"/>
      <c r="L507" s="13">
        <v>1.4</v>
      </c>
      <c r="M507" s="13"/>
      <c r="N507" s="15"/>
      <c r="O507" s="16"/>
      <c r="P507" s="13"/>
      <c r="Q507" s="13"/>
      <c r="R507" s="17"/>
      <c r="S507" s="13"/>
      <c r="T507" s="17"/>
      <c r="U507" s="13"/>
      <c r="V507" s="16"/>
      <c r="W507" s="13"/>
      <c r="X507" s="13"/>
      <c r="Y507" s="14"/>
      <c r="Z507" s="2"/>
      <c r="AA507" s="13">
        <f>H507*I507/100</f>
      </c>
      <c r="AB507" s="13">
        <f>H507*J507/100</f>
      </c>
      <c r="AC507" s="15">
        <f>H507*K507</f>
      </c>
      <c r="AD507" s="15">
        <f>H507*M507</f>
      </c>
      <c r="AE507" s="13">
        <f>H507*L507/100</f>
      </c>
      <c r="AF507" s="13">
        <f>AA507+AB507+AE507</f>
      </c>
      <c r="AG507" s="13">
        <f>I507+J507+L507</f>
      </c>
      <c r="AH507" s="18">
        <f>$H507*I507</f>
      </c>
      <c r="AI507" s="18">
        <f>$H507*J507</f>
      </c>
      <c r="AJ507" s="18">
        <f>$H507*K507</f>
      </c>
      <c r="AK507" s="18">
        <f>$H507*L507</f>
      </c>
      <c r="AL507" s="18">
        <f>$H507*M507</f>
      </c>
      <c r="AM507" s="14"/>
      <c r="AN507" s="14"/>
      <c r="AO507" s="14"/>
    </row>
    <row x14ac:dyDescent="0.25" r="508" customHeight="1" ht="17.25">
      <c r="A508" s="2" t="s">
        <v>1050</v>
      </c>
      <c r="B508" s="2" t="s">
        <v>1033</v>
      </c>
      <c r="C508" s="2" t="s">
        <v>40</v>
      </c>
      <c r="D508" s="2" t="s">
        <v>64</v>
      </c>
      <c r="E508" s="12" t="s">
        <v>42</v>
      </c>
      <c r="F508" s="2" t="s">
        <v>1034</v>
      </c>
      <c r="G508" s="2" t="s">
        <v>617</v>
      </c>
      <c r="H508" s="14">
        <v>1</v>
      </c>
      <c r="I508" s="13">
        <v>5.4</v>
      </c>
      <c r="J508" s="13">
        <v>7.3</v>
      </c>
      <c r="K508" s="14"/>
      <c r="L508" s="14">
        <v>2</v>
      </c>
      <c r="M508" s="13"/>
      <c r="N508" s="15"/>
      <c r="O508" s="16"/>
      <c r="P508" s="13"/>
      <c r="Q508" s="13"/>
      <c r="R508" s="17"/>
      <c r="S508" s="13"/>
      <c r="T508" s="17"/>
      <c r="U508" s="13"/>
      <c r="V508" s="16"/>
      <c r="W508" s="13"/>
      <c r="X508" s="13"/>
      <c r="Y508" s="14"/>
      <c r="Z508" s="2"/>
      <c r="AA508" s="13">
        <f>H508*I508/100</f>
      </c>
      <c r="AB508" s="13">
        <f>H508*J508/100</f>
      </c>
      <c r="AC508" s="15">
        <f>H508*K508</f>
      </c>
      <c r="AD508" s="15">
        <f>H508*M508</f>
      </c>
      <c r="AE508" s="13">
        <f>H508*L508/100</f>
      </c>
      <c r="AF508" s="13">
        <f>AA508+AB508+AE508</f>
      </c>
      <c r="AG508" s="13">
        <f>I508+J508+L508</f>
      </c>
      <c r="AH508" s="18">
        <f>$H508*I508</f>
      </c>
      <c r="AI508" s="18">
        <f>$H508*J508</f>
      </c>
      <c r="AJ508" s="18">
        <f>$H508*K508</f>
      </c>
      <c r="AK508" s="18">
        <f>$H508*L508</f>
      </c>
      <c r="AL508" s="18">
        <f>$H508*M508</f>
      </c>
      <c r="AM508" s="14"/>
      <c r="AN508" s="14"/>
      <c r="AO508" s="14"/>
    </row>
    <row x14ac:dyDescent="0.25" r="509" customHeight="1" ht="17.25">
      <c r="A509" s="2" t="s">
        <v>1051</v>
      </c>
      <c r="B509" s="2" t="s">
        <v>1033</v>
      </c>
      <c r="C509" s="2" t="s">
        <v>40</v>
      </c>
      <c r="D509" s="2" t="s">
        <v>64</v>
      </c>
      <c r="E509" s="12" t="s">
        <v>42</v>
      </c>
      <c r="F509" s="2" t="s">
        <v>43</v>
      </c>
      <c r="G509" s="2" t="s">
        <v>46</v>
      </c>
      <c r="H509" s="13">
        <v>17.49</v>
      </c>
      <c r="I509" s="13">
        <v>0.44</v>
      </c>
      <c r="J509" s="13">
        <v>1.84</v>
      </c>
      <c r="K509" s="14"/>
      <c r="L509" s="13"/>
      <c r="M509" s="13"/>
      <c r="N509" s="15"/>
      <c r="O509" s="16"/>
      <c r="P509" s="13"/>
      <c r="Q509" s="13"/>
      <c r="R509" s="17"/>
      <c r="S509" s="13"/>
      <c r="T509" s="17"/>
      <c r="U509" s="13"/>
      <c r="V509" s="16"/>
      <c r="W509" s="13"/>
      <c r="X509" s="13"/>
      <c r="Y509" s="14"/>
      <c r="Z509" s="2"/>
      <c r="AA509" s="13">
        <f>H509*I509/100</f>
      </c>
      <c r="AB509" s="13">
        <f>H509*J509/100</f>
      </c>
      <c r="AC509" s="15">
        <f>H509*K509</f>
      </c>
      <c r="AD509" s="15">
        <f>H509*M509</f>
      </c>
      <c r="AE509" s="13">
        <f>H509*L509/100</f>
      </c>
      <c r="AF509" s="13">
        <f>AA509+AB509+AE509</f>
      </c>
      <c r="AG509" s="13">
        <f>I509+J509+L509</f>
      </c>
      <c r="AH509" s="18">
        <f>$H509*I509</f>
      </c>
      <c r="AI509" s="18">
        <f>$H509*J509</f>
      </c>
      <c r="AJ509" s="18">
        <f>$H509*K509</f>
      </c>
      <c r="AK509" s="18">
        <f>$H509*L509</f>
      </c>
      <c r="AL509" s="18">
        <f>$H509*M509</f>
      </c>
      <c r="AM509" s="14"/>
      <c r="AN509" s="14"/>
      <c r="AO509" s="14"/>
    </row>
    <row x14ac:dyDescent="0.25" r="510" customHeight="1" ht="17.25">
      <c r="A510" s="2" t="s">
        <v>1052</v>
      </c>
      <c r="B510" s="2" t="s">
        <v>1033</v>
      </c>
      <c r="C510" s="2" t="s">
        <v>40</v>
      </c>
      <c r="D510" s="2" t="s">
        <v>64</v>
      </c>
      <c r="E510" s="12" t="s">
        <v>42</v>
      </c>
      <c r="F510" s="2" t="s">
        <v>43</v>
      </c>
      <c r="G510" s="2" t="s">
        <v>46</v>
      </c>
      <c r="H510" s="13">
        <v>0.77</v>
      </c>
      <c r="I510" s="13">
        <f>5.35/2</f>
      </c>
      <c r="J510" s="13"/>
      <c r="K510" s="14"/>
      <c r="L510" s="13"/>
      <c r="M510" s="13"/>
      <c r="N510" s="15"/>
      <c r="O510" s="16"/>
      <c r="P510" s="13"/>
      <c r="Q510" s="13"/>
      <c r="R510" s="17"/>
      <c r="S510" s="13"/>
      <c r="T510" s="17"/>
      <c r="U510" s="13"/>
      <c r="V510" s="16"/>
      <c r="W510" s="13"/>
      <c r="X510" s="13"/>
      <c r="Y510" s="14"/>
      <c r="Z510" s="2"/>
      <c r="AA510" s="13">
        <f>H510*I510/100</f>
      </c>
      <c r="AB510" s="13">
        <f>H510*J510/100</f>
      </c>
      <c r="AC510" s="15">
        <f>H510*K510</f>
      </c>
      <c r="AD510" s="15">
        <f>H510*M510</f>
      </c>
      <c r="AE510" s="13">
        <f>H510*L510/100</f>
      </c>
      <c r="AF510" s="13">
        <f>AA510+AB510+AE510</f>
      </c>
      <c r="AG510" s="13">
        <f>I510+J510+L510</f>
      </c>
      <c r="AH510" s="18">
        <f>$H510*I510</f>
      </c>
      <c r="AI510" s="18">
        <f>$H510*J510</f>
      </c>
      <c r="AJ510" s="18">
        <f>$H510*K510</f>
      </c>
      <c r="AK510" s="18">
        <f>$H510*L510</f>
      </c>
      <c r="AL510" s="18">
        <f>$H510*M510</f>
      </c>
      <c r="AM510" s="14"/>
      <c r="AN510" s="14"/>
      <c r="AO510" s="14"/>
    </row>
    <row x14ac:dyDescent="0.25" r="511" customHeight="1" ht="17.25">
      <c r="A511" s="2" t="s">
        <v>1053</v>
      </c>
      <c r="B511" s="2" t="s">
        <v>1033</v>
      </c>
      <c r="C511" s="2" t="s">
        <v>40</v>
      </c>
      <c r="D511" s="2" t="s">
        <v>64</v>
      </c>
      <c r="E511" s="12" t="s">
        <v>42</v>
      </c>
      <c r="F511" s="2" t="s">
        <v>43</v>
      </c>
      <c r="G511" s="2" t="s">
        <v>46</v>
      </c>
      <c r="H511" s="13">
        <v>2.79</v>
      </c>
      <c r="I511" s="14">
        <v>4</v>
      </c>
      <c r="J511" s="13">
        <v>4.23</v>
      </c>
      <c r="K511" s="14">
        <v>62</v>
      </c>
      <c r="L511" s="13">
        <v>0.1</v>
      </c>
      <c r="M511" s="13"/>
      <c r="N511" s="15"/>
      <c r="O511" s="16"/>
      <c r="P511" s="13"/>
      <c r="Q511" s="13"/>
      <c r="R511" s="17"/>
      <c r="S511" s="13"/>
      <c r="T511" s="17"/>
      <c r="U511" s="13"/>
      <c r="V511" s="16"/>
      <c r="W511" s="13"/>
      <c r="X511" s="13"/>
      <c r="Y511" s="14"/>
      <c r="Z511" s="2"/>
      <c r="AA511" s="13">
        <f>H511*I511/100</f>
      </c>
      <c r="AB511" s="13">
        <f>H511*J511/100</f>
      </c>
      <c r="AC511" s="15">
        <f>H511*K511</f>
      </c>
      <c r="AD511" s="15">
        <f>H511*M511</f>
      </c>
      <c r="AE511" s="13">
        <f>H511*L511/100</f>
      </c>
      <c r="AF511" s="13">
        <f>AA511+AB511+AE511</f>
      </c>
      <c r="AG511" s="13">
        <f>I511+J511+L511</f>
      </c>
      <c r="AH511" s="18">
        <f>$H511*I511</f>
      </c>
      <c r="AI511" s="18">
        <f>$H511*J511</f>
      </c>
      <c r="AJ511" s="18">
        <f>$H511*K511</f>
      </c>
      <c r="AK511" s="18">
        <f>$H511*L511</f>
      </c>
      <c r="AL511" s="18">
        <f>$H511*M511</f>
      </c>
      <c r="AM511" s="14"/>
      <c r="AN511" s="14"/>
      <c r="AO511" s="14"/>
    </row>
    <row x14ac:dyDescent="0.25" r="512" customHeight="1" ht="17.25">
      <c r="A512" s="2" t="s">
        <v>1054</v>
      </c>
      <c r="B512" s="2" t="s">
        <v>1033</v>
      </c>
      <c r="C512" s="2" t="s">
        <v>50</v>
      </c>
      <c r="D512" s="2"/>
      <c r="E512" s="12" t="s">
        <v>42</v>
      </c>
      <c r="F512" s="2" t="s">
        <v>1034</v>
      </c>
      <c r="G512" s="2" t="s">
        <v>617</v>
      </c>
      <c r="H512" s="14">
        <v>1</v>
      </c>
      <c r="I512" s="13"/>
      <c r="J512" s="13">
        <v>6.7</v>
      </c>
      <c r="K512" s="14"/>
      <c r="L512" s="13">
        <v>0.4</v>
      </c>
      <c r="M512" s="13"/>
      <c r="N512" s="15"/>
      <c r="O512" s="16"/>
      <c r="P512" s="13"/>
      <c r="Q512" s="13"/>
      <c r="R512" s="17"/>
      <c r="S512" s="13"/>
      <c r="T512" s="17"/>
      <c r="U512" s="13"/>
      <c r="V512" s="16"/>
      <c r="W512" s="13"/>
      <c r="X512" s="13"/>
      <c r="Y512" s="14"/>
      <c r="Z512" s="2"/>
      <c r="AA512" s="13">
        <f>H512*I512/100</f>
      </c>
      <c r="AB512" s="13">
        <f>H512*J512/100</f>
      </c>
      <c r="AC512" s="15">
        <f>H512*K512</f>
      </c>
      <c r="AD512" s="15">
        <f>H512*M512</f>
      </c>
      <c r="AE512" s="13">
        <f>H512*L512/100</f>
      </c>
      <c r="AF512" s="13">
        <f>AA512+AB512+AE512</f>
      </c>
      <c r="AG512" s="13">
        <f>I512+J512+L512</f>
      </c>
      <c r="AH512" s="18">
        <f>$H512*I512</f>
      </c>
      <c r="AI512" s="18">
        <f>$H512*J512</f>
      </c>
      <c r="AJ512" s="18">
        <f>$H512*K512</f>
      </c>
      <c r="AK512" s="18">
        <f>$H512*L512</f>
      </c>
      <c r="AL512" s="18">
        <f>$H512*M512</f>
      </c>
      <c r="AM512" s="14"/>
      <c r="AN512" s="14"/>
      <c r="AO512" s="14"/>
    </row>
    <row x14ac:dyDescent="0.25" r="513" customHeight="1" ht="17.25">
      <c r="A513" s="2" t="s">
        <v>1055</v>
      </c>
      <c r="B513" s="2" t="s">
        <v>1033</v>
      </c>
      <c r="C513" s="2" t="s">
        <v>40</v>
      </c>
      <c r="D513" s="2" t="s">
        <v>64</v>
      </c>
      <c r="E513" s="12" t="s">
        <v>42</v>
      </c>
      <c r="F513" s="2" t="s">
        <v>43</v>
      </c>
      <c r="G513" s="2" t="s">
        <v>46</v>
      </c>
      <c r="H513" s="13">
        <v>9.01</v>
      </c>
      <c r="I513" s="13">
        <v>2.56</v>
      </c>
      <c r="J513" s="13">
        <v>3.22</v>
      </c>
      <c r="K513" s="14"/>
      <c r="L513" s="13"/>
      <c r="M513" s="13"/>
      <c r="N513" s="15"/>
      <c r="O513" s="16"/>
      <c r="P513" s="13"/>
      <c r="Q513" s="13"/>
      <c r="R513" s="17"/>
      <c r="S513" s="13"/>
      <c r="T513" s="17"/>
      <c r="U513" s="13"/>
      <c r="V513" s="16"/>
      <c r="W513" s="13"/>
      <c r="X513" s="13"/>
      <c r="Y513" s="14"/>
      <c r="Z513" s="2"/>
      <c r="AA513" s="13">
        <f>H513*I513/100</f>
      </c>
      <c r="AB513" s="13">
        <f>H513*J513/100</f>
      </c>
      <c r="AC513" s="15">
        <f>H513*K513</f>
      </c>
      <c r="AD513" s="15">
        <f>H513*M513</f>
      </c>
      <c r="AE513" s="13">
        <f>H513*L513/100</f>
      </c>
      <c r="AF513" s="13">
        <f>AA513+AB513+AE513</f>
      </c>
      <c r="AG513" s="13">
        <f>I513+J513+L513</f>
      </c>
      <c r="AH513" s="18">
        <f>$H513*I513</f>
      </c>
      <c r="AI513" s="18">
        <f>$H513*J513</f>
      </c>
      <c r="AJ513" s="18">
        <f>$H513*K513</f>
      </c>
      <c r="AK513" s="18">
        <f>$H513*L513</f>
      </c>
      <c r="AL513" s="18">
        <f>$H513*M513</f>
      </c>
      <c r="AM513" s="14"/>
      <c r="AN513" s="14"/>
      <c r="AO513" s="14"/>
    </row>
    <row x14ac:dyDescent="0.25" r="514" customHeight="1" ht="17.25">
      <c r="A514" s="2" t="s">
        <v>1056</v>
      </c>
      <c r="B514" s="2" t="s">
        <v>1033</v>
      </c>
      <c r="C514" s="2" t="s">
        <v>40</v>
      </c>
      <c r="D514" s="2" t="s">
        <v>64</v>
      </c>
      <c r="E514" s="2" t="s">
        <v>52</v>
      </c>
      <c r="F514" s="2" t="s">
        <v>1043</v>
      </c>
      <c r="G514" s="2" t="s">
        <v>1016</v>
      </c>
      <c r="H514" s="13">
        <f>1.1+0.4+6.2</f>
      </c>
      <c r="I514" s="15">
        <f>(2*1.1+1*0.4+1.5*6.2)/$H514</f>
      </c>
      <c r="J514" s="15">
        <f>(13.1*1.1+7*0.4+10.4*6.2)/$H514</f>
      </c>
      <c r="K514" s="17">
        <f>(36*1.1+13*0.4+32*6.2)/$H514</f>
      </c>
      <c r="L514" s="13"/>
      <c r="M514" s="13"/>
      <c r="N514" s="15"/>
      <c r="O514" s="16"/>
      <c r="P514" s="13"/>
      <c r="Q514" s="13"/>
      <c r="R514" s="17"/>
      <c r="S514" s="13"/>
      <c r="T514" s="17"/>
      <c r="U514" s="13"/>
      <c r="V514" s="16"/>
      <c r="W514" s="13"/>
      <c r="X514" s="13"/>
      <c r="Y514" s="14"/>
      <c r="Z514" s="2"/>
      <c r="AA514" s="13">
        <f>H514*I514/100</f>
      </c>
      <c r="AB514" s="13">
        <f>H514*J514/100</f>
      </c>
      <c r="AC514" s="15">
        <f>H514*K514</f>
      </c>
      <c r="AD514" s="15">
        <f>H514*M514</f>
      </c>
      <c r="AE514" s="13">
        <f>H514*L514/100</f>
      </c>
      <c r="AF514" s="13">
        <f>AA514+AB514+AE514</f>
      </c>
      <c r="AG514" s="13">
        <f>I514+J514+L514</f>
      </c>
      <c r="AH514" s="18">
        <f>$H514*I514</f>
      </c>
      <c r="AI514" s="18">
        <f>$H514*J514</f>
      </c>
      <c r="AJ514" s="18">
        <f>$H514*K514</f>
      </c>
      <c r="AK514" s="18">
        <f>$H514*L514</f>
      </c>
      <c r="AL514" s="18">
        <f>$H514*M514</f>
      </c>
      <c r="AM514" s="14"/>
      <c r="AN514" s="14"/>
      <c r="AO514" s="14"/>
    </row>
    <row x14ac:dyDescent="0.25" r="515" customHeight="1" ht="17.25">
      <c r="A515" s="2" t="s">
        <v>1057</v>
      </c>
      <c r="B515" s="2" t="s">
        <v>1033</v>
      </c>
      <c r="C515" s="2" t="s">
        <v>40</v>
      </c>
      <c r="D515" s="2" t="s">
        <v>64</v>
      </c>
      <c r="E515" s="12" t="s">
        <v>42</v>
      </c>
      <c r="F515" s="2" t="s">
        <v>43</v>
      </c>
      <c r="G515" s="2" t="s">
        <v>46</v>
      </c>
      <c r="H515" s="13">
        <v>8.2</v>
      </c>
      <c r="I515" s="13"/>
      <c r="J515" s="13">
        <v>6.8</v>
      </c>
      <c r="K515" s="14"/>
      <c r="L515" s="13"/>
      <c r="M515" s="13"/>
      <c r="N515" s="15"/>
      <c r="O515" s="16"/>
      <c r="P515" s="13"/>
      <c r="Q515" s="13"/>
      <c r="R515" s="17"/>
      <c r="S515" s="13"/>
      <c r="T515" s="17"/>
      <c r="U515" s="13"/>
      <c r="V515" s="16"/>
      <c r="W515" s="13"/>
      <c r="X515" s="13"/>
      <c r="Y515" s="14"/>
      <c r="Z515" s="2"/>
      <c r="AA515" s="13">
        <f>H515*I515/100</f>
      </c>
      <c r="AB515" s="13">
        <f>H515*J515/100</f>
      </c>
      <c r="AC515" s="15">
        <f>H515*K515</f>
      </c>
      <c r="AD515" s="15">
        <f>H515*M515</f>
      </c>
      <c r="AE515" s="13">
        <f>H515*L515/100</f>
      </c>
      <c r="AF515" s="13">
        <f>AA515+AB515+AE515</f>
      </c>
      <c r="AG515" s="13">
        <f>I515+J515+L515</f>
      </c>
      <c r="AH515" s="18">
        <f>$H515*I515</f>
      </c>
      <c r="AI515" s="18">
        <f>$H515*J515</f>
      </c>
      <c r="AJ515" s="18">
        <f>$H515*K515</f>
      </c>
      <c r="AK515" s="18">
        <f>$H515*L515</f>
      </c>
      <c r="AL515" s="18">
        <f>$H515*M515</f>
      </c>
      <c r="AM515" s="14"/>
      <c r="AN515" s="14"/>
      <c r="AO515" s="14"/>
    </row>
    <row x14ac:dyDescent="0.25" r="516" customHeight="1" ht="17.25">
      <c r="A516" s="2" t="s">
        <v>1058</v>
      </c>
      <c r="B516" s="2" t="s">
        <v>1033</v>
      </c>
      <c r="C516" s="2" t="s">
        <v>40</v>
      </c>
      <c r="D516" s="2" t="s">
        <v>64</v>
      </c>
      <c r="E516" s="12" t="s">
        <v>42</v>
      </c>
      <c r="F516" s="2" t="s">
        <v>43</v>
      </c>
      <c r="G516" s="2" t="s">
        <v>46</v>
      </c>
      <c r="H516" s="13">
        <v>6.6</v>
      </c>
      <c r="I516" s="13"/>
      <c r="J516" s="13">
        <v>5.51</v>
      </c>
      <c r="K516" s="14"/>
      <c r="L516" s="13"/>
      <c r="M516" s="13"/>
      <c r="N516" s="15"/>
      <c r="O516" s="16"/>
      <c r="P516" s="13"/>
      <c r="Q516" s="13"/>
      <c r="R516" s="17"/>
      <c r="S516" s="13"/>
      <c r="T516" s="17"/>
      <c r="U516" s="13"/>
      <c r="V516" s="16"/>
      <c r="W516" s="13"/>
      <c r="X516" s="13"/>
      <c r="Y516" s="14"/>
      <c r="Z516" s="2"/>
      <c r="AA516" s="13">
        <f>H516*I516/100</f>
      </c>
      <c r="AB516" s="13">
        <f>H516*J516/100</f>
      </c>
      <c r="AC516" s="15">
        <f>H516*K516</f>
      </c>
      <c r="AD516" s="15">
        <f>H516*M516</f>
      </c>
      <c r="AE516" s="13">
        <f>H516*L516/100</f>
      </c>
      <c r="AF516" s="13">
        <f>AA516+AB516+AE516</f>
      </c>
      <c r="AG516" s="13">
        <f>I516+J516+L516</f>
      </c>
      <c r="AH516" s="18">
        <f>$H516*I516</f>
      </c>
      <c r="AI516" s="18">
        <f>$H516*J516</f>
      </c>
      <c r="AJ516" s="18">
        <f>$H516*K516</f>
      </c>
      <c r="AK516" s="18">
        <f>$H516*L516</f>
      </c>
      <c r="AL516" s="18">
        <f>$H516*M516</f>
      </c>
      <c r="AM516" s="14"/>
      <c r="AN516" s="14"/>
      <c r="AO516" s="14"/>
    </row>
    <row x14ac:dyDescent="0.25" r="517" customHeight="1" ht="17.25">
      <c r="A517" s="2" t="s">
        <v>1059</v>
      </c>
      <c r="B517" s="2" t="s">
        <v>1033</v>
      </c>
      <c r="C517" s="2" t="s">
        <v>40</v>
      </c>
      <c r="D517" s="2" t="s">
        <v>64</v>
      </c>
      <c r="E517" s="12" t="s">
        <v>42</v>
      </c>
      <c r="F517" s="2" t="s">
        <v>43</v>
      </c>
      <c r="G517" s="2" t="s">
        <v>463</v>
      </c>
      <c r="H517" s="14">
        <v>27</v>
      </c>
      <c r="I517" s="13">
        <v>1.69</v>
      </c>
      <c r="J517" s="13">
        <v>3.79</v>
      </c>
      <c r="K517" s="14"/>
      <c r="L517" s="13"/>
      <c r="M517" s="13"/>
      <c r="N517" s="15"/>
      <c r="O517" s="16"/>
      <c r="P517" s="13"/>
      <c r="Q517" s="13"/>
      <c r="R517" s="17"/>
      <c r="S517" s="13"/>
      <c r="T517" s="17"/>
      <c r="U517" s="13"/>
      <c r="V517" s="16"/>
      <c r="W517" s="13"/>
      <c r="X517" s="13"/>
      <c r="Y517" s="14"/>
      <c r="Z517" s="2"/>
      <c r="AA517" s="13">
        <f>H517*I517/100</f>
      </c>
      <c r="AB517" s="13">
        <f>H517*J517/100</f>
      </c>
      <c r="AC517" s="15">
        <f>H517*K517</f>
      </c>
      <c r="AD517" s="15">
        <f>H517*M517</f>
      </c>
      <c r="AE517" s="13">
        <f>H517*L517/100</f>
      </c>
      <c r="AF517" s="13">
        <f>AA517+AB517+AE517</f>
      </c>
      <c r="AG517" s="13">
        <f>I517+J517+L517</f>
      </c>
      <c r="AH517" s="18">
        <f>$H517*I517</f>
      </c>
      <c r="AI517" s="18">
        <f>$H517*J517</f>
      </c>
      <c r="AJ517" s="18">
        <f>$H517*K517</f>
      </c>
      <c r="AK517" s="18">
        <f>$H517*L517</f>
      </c>
      <c r="AL517" s="18">
        <f>$H517*M517</f>
      </c>
      <c r="AM517" s="14"/>
      <c r="AN517" s="14"/>
      <c r="AO517" s="14"/>
    </row>
    <row x14ac:dyDescent="0.25" r="518" customHeight="1" ht="17.25">
      <c r="A518" s="2" t="s">
        <v>1060</v>
      </c>
      <c r="B518" s="2" t="s">
        <v>1033</v>
      </c>
      <c r="C518" s="2" t="s">
        <v>40</v>
      </c>
      <c r="D518" s="2" t="s">
        <v>64</v>
      </c>
      <c r="E518" s="12" t="s">
        <v>42</v>
      </c>
      <c r="F518" s="2" t="s">
        <v>43</v>
      </c>
      <c r="G518" s="2" t="s">
        <v>463</v>
      </c>
      <c r="H518" s="14">
        <v>40</v>
      </c>
      <c r="I518" s="13">
        <v>0.6</v>
      </c>
      <c r="J518" s="13">
        <v>2.4</v>
      </c>
      <c r="K518" s="14"/>
      <c r="L518" s="13"/>
      <c r="M518" s="13"/>
      <c r="N518" s="15"/>
      <c r="O518" s="16"/>
      <c r="P518" s="13"/>
      <c r="Q518" s="13"/>
      <c r="R518" s="17"/>
      <c r="S518" s="13"/>
      <c r="T518" s="17"/>
      <c r="U518" s="13"/>
      <c r="V518" s="16"/>
      <c r="W518" s="13"/>
      <c r="X518" s="13"/>
      <c r="Y518" s="14"/>
      <c r="Z518" s="2"/>
      <c r="AA518" s="13">
        <f>H518*I518/100</f>
      </c>
      <c r="AB518" s="13">
        <f>H518*J518/100</f>
      </c>
      <c r="AC518" s="15">
        <f>H518*K518</f>
      </c>
      <c r="AD518" s="15">
        <f>H518*M518</f>
      </c>
      <c r="AE518" s="13">
        <f>H518*L518/100</f>
      </c>
      <c r="AF518" s="13">
        <f>AA518+AB518+AE518</f>
      </c>
      <c r="AG518" s="13">
        <f>I518+J518+L518</f>
      </c>
      <c r="AH518" s="18">
        <f>$H518*I518</f>
      </c>
      <c r="AI518" s="18">
        <f>$H518*J518</f>
      </c>
      <c r="AJ518" s="18">
        <f>$H518*K518</f>
      </c>
      <c r="AK518" s="18">
        <f>$H518*L518</f>
      </c>
      <c r="AL518" s="18">
        <f>$H518*M518</f>
      </c>
      <c r="AM518" s="14"/>
      <c r="AN518" s="14"/>
      <c r="AO518" s="14"/>
    </row>
    <row x14ac:dyDescent="0.25" r="519" customHeight="1" ht="17.25">
      <c r="A519" s="2" t="s">
        <v>1061</v>
      </c>
      <c r="B519" s="2" t="s">
        <v>1033</v>
      </c>
      <c r="C519" s="2" t="s">
        <v>40</v>
      </c>
      <c r="D519" s="2" t="s">
        <v>64</v>
      </c>
      <c r="E519" s="12" t="s">
        <v>42</v>
      </c>
      <c r="F519" s="2" t="s">
        <v>43</v>
      </c>
      <c r="G519" s="2" t="s">
        <v>46</v>
      </c>
      <c r="H519" s="13">
        <v>3.14</v>
      </c>
      <c r="I519" s="13">
        <v>0.67</v>
      </c>
      <c r="J519" s="13">
        <v>3.25</v>
      </c>
      <c r="K519" s="14"/>
      <c r="L519" s="13"/>
      <c r="M519" s="13"/>
      <c r="N519" s="15"/>
      <c r="O519" s="16"/>
      <c r="P519" s="13"/>
      <c r="Q519" s="13"/>
      <c r="R519" s="17"/>
      <c r="S519" s="13"/>
      <c r="T519" s="17"/>
      <c r="U519" s="13"/>
      <c r="V519" s="16"/>
      <c r="W519" s="13"/>
      <c r="X519" s="13"/>
      <c r="Y519" s="14"/>
      <c r="Z519" s="2"/>
      <c r="AA519" s="13">
        <f>H519*I519/100</f>
      </c>
      <c r="AB519" s="13">
        <f>H519*J519/100</f>
      </c>
      <c r="AC519" s="15">
        <f>H519*K519</f>
      </c>
      <c r="AD519" s="15">
        <f>H519*M519</f>
      </c>
      <c r="AE519" s="13">
        <f>H519*L519/100</f>
      </c>
      <c r="AF519" s="13">
        <f>AA519+AB519+AE519</f>
      </c>
      <c r="AG519" s="13">
        <f>I519+J519+L519</f>
      </c>
      <c r="AH519" s="18">
        <f>$H519*I519</f>
      </c>
      <c r="AI519" s="18">
        <f>$H519*J519</f>
      </c>
      <c r="AJ519" s="18">
        <f>$H519*K519</f>
      </c>
      <c r="AK519" s="18">
        <f>$H519*L519</f>
      </c>
      <c r="AL519" s="18">
        <f>$H519*M519</f>
      </c>
      <c r="AM519" s="14"/>
      <c r="AN519" s="14"/>
      <c r="AO519" s="14"/>
    </row>
    <row x14ac:dyDescent="0.25" r="520" customHeight="1" ht="17.25">
      <c r="A520" s="2" t="s">
        <v>1062</v>
      </c>
      <c r="B520" s="2" t="s">
        <v>1033</v>
      </c>
      <c r="C520" s="2" t="s">
        <v>50</v>
      </c>
      <c r="D520" s="2"/>
      <c r="E520" s="12" t="s">
        <v>42</v>
      </c>
      <c r="F520" s="2" t="s">
        <v>1034</v>
      </c>
      <c r="G520" s="2" t="s">
        <v>617</v>
      </c>
      <c r="H520" s="13">
        <v>0.6</v>
      </c>
      <c r="I520" s="13"/>
      <c r="J520" s="13">
        <v>1.8</v>
      </c>
      <c r="K520" s="14">
        <v>50</v>
      </c>
      <c r="L520" s="13">
        <v>1.8</v>
      </c>
      <c r="M520" s="13"/>
      <c r="N520" s="15"/>
      <c r="O520" s="16"/>
      <c r="P520" s="13"/>
      <c r="Q520" s="13"/>
      <c r="R520" s="17"/>
      <c r="S520" s="13"/>
      <c r="T520" s="17"/>
      <c r="U520" s="13"/>
      <c r="V520" s="16"/>
      <c r="W520" s="13"/>
      <c r="X520" s="13"/>
      <c r="Y520" s="14"/>
      <c r="Z520" s="2"/>
      <c r="AA520" s="13">
        <f>H520*I520/100</f>
      </c>
      <c r="AB520" s="13">
        <f>H520*J520/100</f>
      </c>
      <c r="AC520" s="15">
        <f>H520*K520</f>
      </c>
      <c r="AD520" s="15">
        <f>H520*M520</f>
      </c>
      <c r="AE520" s="13">
        <f>H520*L520/100</f>
      </c>
      <c r="AF520" s="13">
        <f>AA520+AB520+AE520</f>
      </c>
      <c r="AG520" s="13">
        <f>I520+J520+L520</f>
      </c>
      <c r="AH520" s="18">
        <f>$H520*I520</f>
      </c>
      <c r="AI520" s="18">
        <f>$H520*J520</f>
      </c>
      <c r="AJ520" s="18">
        <f>$H520*K520</f>
      </c>
      <c r="AK520" s="18">
        <f>$H520*L520</f>
      </c>
      <c r="AL520" s="18">
        <f>$H520*M520</f>
      </c>
      <c r="AM520" s="14"/>
      <c r="AN520" s="14"/>
      <c r="AO520" s="14"/>
    </row>
    <row x14ac:dyDescent="0.25" r="521" customHeight="1" ht="17.25">
      <c r="A521" s="2" t="s">
        <v>1063</v>
      </c>
      <c r="B521" s="2" t="s">
        <v>1033</v>
      </c>
      <c r="C521" s="2" t="s">
        <v>40</v>
      </c>
      <c r="D521" s="2" t="s">
        <v>64</v>
      </c>
      <c r="E521" s="2" t="s">
        <v>52</v>
      </c>
      <c r="F521" s="2" t="s">
        <v>1043</v>
      </c>
      <c r="G521" s="2" t="s">
        <v>1016</v>
      </c>
      <c r="H521" s="13">
        <f>21.3+22.9+10</f>
      </c>
      <c r="I521" s="15">
        <f>(2.4*21.3+1.9*22.9+1.6*10)/$H521</f>
      </c>
      <c r="J521" s="15">
        <f>(6.9*21.3+7.1*22.9+6.4*10)/$H521</f>
      </c>
      <c r="K521" s="17">
        <f>(66*21.3+90*22.9+58*10)/$H521</f>
      </c>
      <c r="L521" s="13">
        <v>0.15</v>
      </c>
      <c r="M521" s="13">
        <v>0.28</v>
      </c>
      <c r="N521" s="15"/>
      <c r="O521" s="16"/>
      <c r="P521" s="13"/>
      <c r="Q521" s="13"/>
      <c r="R521" s="17"/>
      <c r="S521" s="13"/>
      <c r="T521" s="17"/>
      <c r="U521" s="13"/>
      <c r="V521" s="16"/>
      <c r="W521" s="13"/>
      <c r="X521" s="13"/>
      <c r="Y521" s="14"/>
      <c r="Z521" s="2"/>
      <c r="AA521" s="13">
        <f>H521*I521/100</f>
      </c>
      <c r="AB521" s="13">
        <f>H521*J521/100</f>
      </c>
      <c r="AC521" s="15">
        <f>H521*K521</f>
      </c>
      <c r="AD521" s="15">
        <f>H521*M521</f>
      </c>
      <c r="AE521" s="13">
        <f>H521*L521/100</f>
      </c>
      <c r="AF521" s="13">
        <f>AA521+AB521+AE521</f>
      </c>
      <c r="AG521" s="13">
        <f>I521+J521+L521</f>
      </c>
      <c r="AH521" s="18">
        <f>$H521*I521</f>
      </c>
      <c r="AI521" s="18">
        <f>$H521*J521</f>
      </c>
      <c r="AJ521" s="18">
        <f>$H521*K521</f>
      </c>
      <c r="AK521" s="18">
        <f>$H521*L521</f>
      </c>
      <c r="AL521" s="18">
        <f>$H521*M521</f>
      </c>
      <c r="AM521" s="14"/>
      <c r="AN521" s="14"/>
      <c r="AO521" s="14"/>
    </row>
    <row x14ac:dyDescent="0.25" r="522" customHeight="1" ht="17.25">
      <c r="A522" s="2" t="s">
        <v>1064</v>
      </c>
      <c r="B522" s="2" t="s">
        <v>1033</v>
      </c>
      <c r="C522" s="2" t="s">
        <v>40</v>
      </c>
      <c r="D522" s="2" t="s">
        <v>64</v>
      </c>
      <c r="E522" s="2" t="s">
        <v>52</v>
      </c>
      <c r="F522" s="2" t="s">
        <v>1043</v>
      </c>
      <c r="G522" s="2" t="s">
        <v>1016</v>
      </c>
      <c r="H522" s="13">
        <f>17.4+34.5+12.8+44.7</f>
      </c>
      <c r="I522" s="15">
        <f>(2.1*17.4+2.2*34.5+2*12.8+1.8*44.7)/$H522</f>
      </c>
      <c r="J522" s="15">
        <f>(15.3*17.4+9.9*34.5+15*12.8+13.4*44.7)/$H522</f>
      </c>
      <c r="K522" s="17">
        <f>(65*17.4+58*34.5+58*12.8+58*44.7)/$H522</f>
      </c>
      <c r="L522" s="13"/>
      <c r="M522" s="13"/>
      <c r="N522" s="15"/>
      <c r="O522" s="16"/>
      <c r="P522" s="13"/>
      <c r="Q522" s="13"/>
      <c r="R522" s="17"/>
      <c r="S522" s="13"/>
      <c r="T522" s="17"/>
      <c r="U522" s="13"/>
      <c r="V522" s="16"/>
      <c r="W522" s="13"/>
      <c r="X522" s="13"/>
      <c r="Y522" s="14"/>
      <c r="Z522" s="2"/>
      <c r="AA522" s="13">
        <f>H522*I522/100</f>
      </c>
      <c r="AB522" s="13">
        <f>H522*J522/100</f>
      </c>
      <c r="AC522" s="15">
        <f>H522*K522</f>
      </c>
      <c r="AD522" s="15">
        <f>H522*M522</f>
      </c>
      <c r="AE522" s="13">
        <f>H522*L522/100</f>
      </c>
      <c r="AF522" s="13">
        <f>AA522+AB522+AE522</f>
      </c>
      <c r="AG522" s="13">
        <f>I522+J522+L522</f>
      </c>
      <c r="AH522" s="18">
        <f>$H522*I522</f>
      </c>
      <c r="AI522" s="18">
        <f>$H522*J522</f>
      </c>
      <c r="AJ522" s="18">
        <f>$H522*K522</f>
      </c>
      <c r="AK522" s="18">
        <f>$H522*L522</f>
      </c>
      <c r="AL522" s="18">
        <f>$H522*M522</f>
      </c>
      <c r="AM522" s="14"/>
      <c r="AN522" s="14"/>
      <c r="AO522" s="14"/>
    </row>
    <row x14ac:dyDescent="0.25" r="523" customHeight="1" ht="17.25">
      <c r="A523" s="2" t="s">
        <v>1065</v>
      </c>
      <c r="B523" s="2" t="s">
        <v>1033</v>
      </c>
      <c r="C523" s="2" t="s">
        <v>40</v>
      </c>
      <c r="D523" s="2" t="s">
        <v>64</v>
      </c>
      <c r="E523" s="12" t="s">
        <v>42</v>
      </c>
      <c r="F523" s="2" t="s">
        <v>43</v>
      </c>
      <c r="G523" s="2" t="s">
        <v>46</v>
      </c>
      <c r="H523" s="13">
        <v>0.56</v>
      </c>
      <c r="I523" s="13">
        <v>1.1</v>
      </c>
      <c r="J523" s="13">
        <v>2.6</v>
      </c>
      <c r="K523" s="14"/>
      <c r="L523" s="13">
        <v>1.1</v>
      </c>
      <c r="M523" s="13"/>
      <c r="N523" s="15"/>
      <c r="O523" s="16"/>
      <c r="P523" s="13"/>
      <c r="Q523" s="13"/>
      <c r="R523" s="17"/>
      <c r="S523" s="13"/>
      <c r="T523" s="17"/>
      <c r="U523" s="13"/>
      <c r="V523" s="16"/>
      <c r="W523" s="13"/>
      <c r="X523" s="13"/>
      <c r="Y523" s="14"/>
      <c r="Z523" s="2"/>
      <c r="AA523" s="13">
        <f>H523*I523/100</f>
      </c>
      <c r="AB523" s="13">
        <f>H523*J523/100</f>
      </c>
      <c r="AC523" s="15">
        <f>H523*K523</f>
      </c>
      <c r="AD523" s="15">
        <f>H523*M523</f>
      </c>
      <c r="AE523" s="13">
        <f>H523*L523/100</f>
      </c>
      <c r="AF523" s="13">
        <f>AA523+AB523+AE523</f>
      </c>
      <c r="AG523" s="13">
        <f>I523+J523+L523</f>
      </c>
      <c r="AH523" s="18">
        <f>$H523*I523</f>
      </c>
      <c r="AI523" s="18">
        <f>$H523*J523</f>
      </c>
      <c r="AJ523" s="18">
        <f>$H523*K523</f>
      </c>
      <c r="AK523" s="18">
        <f>$H523*L523</f>
      </c>
      <c r="AL523" s="18">
        <f>$H523*M523</f>
      </c>
      <c r="AM523" s="14"/>
      <c r="AN523" s="14"/>
      <c r="AO523" s="14"/>
    </row>
    <row x14ac:dyDescent="0.25" r="524" customHeight="1" ht="17.25">
      <c r="A524" s="2" t="s">
        <v>1066</v>
      </c>
      <c r="B524" s="2" t="s">
        <v>1033</v>
      </c>
      <c r="C524" s="2" t="s">
        <v>40</v>
      </c>
      <c r="D524" s="2" t="s">
        <v>64</v>
      </c>
      <c r="E524" s="12" t="s">
        <v>42</v>
      </c>
      <c r="F524" s="2" t="s">
        <v>43</v>
      </c>
      <c r="G524" s="2" t="s">
        <v>46</v>
      </c>
      <c r="H524" s="13">
        <v>1.2</v>
      </c>
      <c r="I524" s="13">
        <v>5.4</v>
      </c>
      <c r="J524" s="13">
        <v>0.4</v>
      </c>
      <c r="K524" s="14"/>
      <c r="L524" s="13">
        <v>0.7</v>
      </c>
      <c r="M524" s="13"/>
      <c r="N524" s="15"/>
      <c r="O524" s="16"/>
      <c r="P524" s="13"/>
      <c r="Q524" s="13"/>
      <c r="R524" s="17"/>
      <c r="S524" s="13"/>
      <c r="T524" s="17"/>
      <c r="U524" s="13"/>
      <c r="V524" s="16"/>
      <c r="W524" s="13"/>
      <c r="X524" s="13"/>
      <c r="Y524" s="14"/>
      <c r="Z524" s="2"/>
      <c r="AA524" s="13">
        <f>H524*I524/100</f>
      </c>
      <c r="AB524" s="13">
        <f>H524*J524/100</f>
      </c>
      <c r="AC524" s="15">
        <f>H524*K524</f>
      </c>
      <c r="AD524" s="15">
        <f>H524*M524</f>
      </c>
      <c r="AE524" s="13">
        <f>H524*L524/100</f>
      </c>
      <c r="AF524" s="13">
        <f>AA524+AB524+AE524</f>
      </c>
      <c r="AG524" s="13">
        <f>I524+J524+L524</f>
      </c>
      <c r="AH524" s="18">
        <f>$H524*I524</f>
      </c>
      <c r="AI524" s="18">
        <f>$H524*J524</f>
      </c>
      <c r="AJ524" s="18">
        <f>$H524*K524</f>
      </c>
      <c r="AK524" s="18">
        <f>$H524*L524</f>
      </c>
      <c r="AL524" s="18">
        <f>$H524*M524</f>
      </c>
      <c r="AM524" s="14"/>
      <c r="AN524" s="14"/>
      <c r="AO524" s="14"/>
    </row>
    <row x14ac:dyDescent="0.25" r="525" customHeight="1" ht="17.25">
      <c r="A525" s="2" t="s">
        <v>1067</v>
      </c>
      <c r="B525" s="2" t="s">
        <v>1033</v>
      </c>
      <c r="C525" s="2" t="s">
        <v>40</v>
      </c>
      <c r="D525" s="2" t="s">
        <v>64</v>
      </c>
      <c r="E525" s="12" t="s">
        <v>42</v>
      </c>
      <c r="F525" s="2" t="s">
        <v>43</v>
      </c>
      <c r="G525" s="2" t="s">
        <v>46</v>
      </c>
      <c r="H525" s="14">
        <v>115</v>
      </c>
      <c r="I525" s="13"/>
      <c r="J525" s="14">
        <v>1</v>
      </c>
      <c r="K525" s="14"/>
      <c r="L525" s="13"/>
      <c r="M525" s="13"/>
      <c r="N525" s="15"/>
      <c r="O525" s="16"/>
      <c r="P525" s="13"/>
      <c r="Q525" s="13"/>
      <c r="R525" s="17"/>
      <c r="S525" s="13"/>
      <c r="T525" s="17"/>
      <c r="U525" s="13"/>
      <c r="V525" s="16"/>
      <c r="W525" s="13"/>
      <c r="X525" s="13"/>
      <c r="Y525" s="14"/>
      <c r="Z525" s="2"/>
      <c r="AA525" s="13">
        <f>H525*I525/100</f>
      </c>
      <c r="AB525" s="13">
        <f>H525*J525/100</f>
      </c>
      <c r="AC525" s="15">
        <f>H525*K525</f>
      </c>
      <c r="AD525" s="15">
        <f>H525*M525</f>
      </c>
      <c r="AE525" s="13">
        <f>H525*L525/100</f>
      </c>
      <c r="AF525" s="13">
        <f>AA525+AB525+AE525</f>
      </c>
      <c r="AG525" s="13">
        <f>I525+J525+L525</f>
      </c>
      <c r="AH525" s="18">
        <f>$H525*I525</f>
      </c>
      <c r="AI525" s="18">
        <f>$H525*J525</f>
      </c>
      <c r="AJ525" s="18">
        <f>$H525*K525</f>
      </c>
      <c r="AK525" s="18">
        <f>$H525*L525</f>
      </c>
      <c r="AL525" s="18">
        <f>$H525*M525</f>
      </c>
      <c r="AM525" s="14"/>
      <c r="AN525" s="14"/>
      <c r="AO525" s="14"/>
    </row>
    <row x14ac:dyDescent="0.25" r="526" customHeight="1" ht="17.25">
      <c r="A526" s="2" t="s">
        <v>1068</v>
      </c>
      <c r="B526" s="2" t="s">
        <v>1033</v>
      </c>
      <c r="C526" s="2" t="s">
        <v>40</v>
      </c>
      <c r="D526" s="2" t="s">
        <v>64</v>
      </c>
      <c r="E526" s="12" t="s">
        <v>42</v>
      </c>
      <c r="F526" s="2" t="s">
        <v>43</v>
      </c>
      <c r="G526" s="2" t="s">
        <v>46</v>
      </c>
      <c r="H526" s="13">
        <v>3.69</v>
      </c>
      <c r="I526" s="13">
        <v>1.37</v>
      </c>
      <c r="J526" s="13">
        <v>1.85</v>
      </c>
      <c r="K526" s="14"/>
      <c r="L526" s="13"/>
      <c r="M526" s="13"/>
      <c r="N526" s="15"/>
      <c r="O526" s="16"/>
      <c r="P526" s="13"/>
      <c r="Q526" s="13"/>
      <c r="R526" s="17"/>
      <c r="S526" s="13"/>
      <c r="T526" s="17"/>
      <c r="U526" s="13"/>
      <c r="V526" s="16"/>
      <c r="W526" s="13"/>
      <c r="X526" s="13"/>
      <c r="Y526" s="14"/>
      <c r="Z526" s="2"/>
      <c r="AA526" s="13">
        <f>H526*I526/100</f>
      </c>
      <c r="AB526" s="13">
        <f>H526*J526/100</f>
      </c>
      <c r="AC526" s="15">
        <f>H526*K526</f>
      </c>
      <c r="AD526" s="15">
        <f>H526*M526</f>
      </c>
      <c r="AE526" s="13">
        <f>H526*L526/100</f>
      </c>
      <c r="AF526" s="13">
        <f>AA526+AB526+AE526</f>
      </c>
      <c r="AG526" s="13">
        <f>I526+J526+L526</f>
      </c>
      <c r="AH526" s="18">
        <f>$H526*I526</f>
      </c>
      <c r="AI526" s="18">
        <f>$H526*J526</f>
      </c>
      <c r="AJ526" s="18">
        <f>$H526*K526</f>
      </c>
      <c r="AK526" s="18">
        <f>$H526*L526</f>
      </c>
      <c r="AL526" s="18">
        <f>$H526*M526</f>
      </c>
      <c r="AM526" s="14"/>
      <c r="AN526" s="14"/>
      <c r="AO526" s="14"/>
    </row>
    <row x14ac:dyDescent="0.25" r="527" customHeight="1" ht="17.25">
      <c r="A527" s="2" t="s">
        <v>1069</v>
      </c>
      <c r="B527" s="2" t="s">
        <v>1033</v>
      </c>
      <c r="C527" s="2" t="s">
        <v>40</v>
      </c>
      <c r="D527" s="2" t="s">
        <v>64</v>
      </c>
      <c r="E527" s="12" t="s">
        <v>42</v>
      </c>
      <c r="F527" s="2" t="s">
        <v>43</v>
      </c>
      <c r="G527" s="2" t="s">
        <v>46</v>
      </c>
      <c r="H527" s="14">
        <v>2</v>
      </c>
      <c r="I527" s="13">
        <v>5.94</v>
      </c>
      <c r="J527" s="13"/>
      <c r="K527" s="14"/>
      <c r="L527" s="13"/>
      <c r="M527" s="13"/>
      <c r="N527" s="15"/>
      <c r="O527" s="16"/>
      <c r="P527" s="13"/>
      <c r="Q527" s="13"/>
      <c r="R527" s="17"/>
      <c r="S527" s="13"/>
      <c r="T527" s="17"/>
      <c r="U527" s="13"/>
      <c r="V527" s="16"/>
      <c r="W527" s="13"/>
      <c r="X527" s="13"/>
      <c r="Y527" s="14"/>
      <c r="Z527" s="2"/>
      <c r="AA527" s="13">
        <f>H527*I527/100</f>
      </c>
      <c r="AB527" s="13">
        <f>H527*J527/100</f>
      </c>
      <c r="AC527" s="15">
        <f>H527*K527</f>
      </c>
      <c r="AD527" s="15">
        <f>H527*M527</f>
      </c>
      <c r="AE527" s="13">
        <f>H527*L527/100</f>
      </c>
      <c r="AF527" s="13">
        <f>AA527+AB527+AE527</f>
      </c>
      <c r="AG527" s="13">
        <f>I527+J527+L527</f>
      </c>
      <c r="AH527" s="18">
        <f>$H527*I527</f>
      </c>
      <c r="AI527" s="18">
        <f>$H527*J527</f>
      </c>
      <c r="AJ527" s="18">
        <f>$H527*K527</f>
      </c>
      <c r="AK527" s="18">
        <f>$H527*L527</f>
      </c>
      <c r="AL527" s="18">
        <f>$H527*M527</f>
      </c>
      <c r="AM527" s="14"/>
      <c r="AN527" s="14"/>
      <c r="AO527" s="14"/>
    </row>
    <row x14ac:dyDescent="0.25" r="528" customHeight="1" ht="17.25">
      <c r="A528" s="2" t="s">
        <v>1070</v>
      </c>
      <c r="B528" s="2" t="s">
        <v>1033</v>
      </c>
      <c r="C528" s="2" t="s">
        <v>40</v>
      </c>
      <c r="D528" s="2" t="s">
        <v>64</v>
      </c>
      <c r="E528" s="12" t="s">
        <v>42</v>
      </c>
      <c r="F528" s="2" t="s">
        <v>43</v>
      </c>
      <c r="G528" s="2" t="s">
        <v>46</v>
      </c>
      <c r="H528" s="13">
        <v>0.9</v>
      </c>
      <c r="I528" s="13">
        <v>2.54</v>
      </c>
      <c r="J528" s="13">
        <v>1.45</v>
      </c>
      <c r="K528" s="14"/>
      <c r="L528" s="13"/>
      <c r="M528" s="13"/>
      <c r="N528" s="15"/>
      <c r="O528" s="16"/>
      <c r="P528" s="13"/>
      <c r="Q528" s="13"/>
      <c r="R528" s="17"/>
      <c r="S528" s="13"/>
      <c r="T528" s="17"/>
      <c r="U528" s="13"/>
      <c r="V528" s="16"/>
      <c r="W528" s="13"/>
      <c r="X528" s="13"/>
      <c r="Y528" s="14"/>
      <c r="Z528" s="2"/>
      <c r="AA528" s="13">
        <f>H528*I528/100</f>
      </c>
      <c r="AB528" s="13">
        <f>H528*J528/100</f>
      </c>
      <c r="AC528" s="15">
        <f>H528*K528</f>
      </c>
      <c r="AD528" s="15">
        <f>H528*M528</f>
      </c>
      <c r="AE528" s="13">
        <f>H528*L528/100</f>
      </c>
      <c r="AF528" s="13">
        <f>AA528+AB528+AE528</f>
      </c>
      <c r="AG528" s="13">
        <f>I528+J528+L528</f>
      </c>
      <c r="AH528" s="18">
        <f>$H528*I528</f>
      </c>
      <c r="AI528" s="18">
        <f>$H528*J528</f>
      </c>
      <c r="AJ528" s="18">
        <f>$H528*K528</f>
      </c>
      <c r="AK528" s="18">
        <f>$H528*L528</f>
      </c>
      <c r="AL528" s="18">
        <f>$H528*M528</f>
      </c>
      <c r="AM528" s="14"/>
      <c r="AN528" s="14"/>
      <c r="AO528" s="14"/>
    </row>
    <row x14ac:dyDescent="0.25" r="529" customHeight="1" ht="17.25">
      <c r="A529" s="2" t="s">
        <v>1071</v>
      </c>
      <c r="B529" s="2" t="s">
        <v>1033</v>
      </c>
      <c r="C529" s="2" t="s">
        <v>40</v>
      </c>
      <c r="D529" s="2" t="s">
        <v>64</v>
      </c>
      <c r="E529" s="2" t="s">
        <v>52</v>
      </c>
      <c r="F529" s="2" t="s">
        <v>1043</v>
      </c>
      <c r="G529" s="2" t="s">
        <v>1016</v>
      </c>
      <c r="H529" s="13">
        <f>30.8+47.9+20.4</f>
      </c>
      <c r="I529" s="15">
        <f>(3.2*30.8+2.2*47.9+2.6*20.4)/$H529</f>
      </c>
      <c r="J529" s="15">
        <f>(5.1*30.8+3.7*47.9+4.6*20.4)/$H529</f>
      </c>
      <c r="K529" s="17">
        <f>(174*30.8+100*47.9+155*20.4)/$H529</f>
      </c>
      <c r="L529" s="13"/>
      <c r="M529" s="13"/>
      <c r="N529" s="15"/>
      <c r="O529" s="16"/>
      <c r="P529" s="13"/>
      <c r="Q529" s="13"/>
      <c r="R529" s="17"/>
      <c r="S529" s="13"/>
      <c r="T529" s="17"/>
      <c r="U529" s="13"/>
      <c r="V529" s="16"/>
      <c r="W529" s="13"/>
      <c r="X529" s="13"/>
      <c r="Y529" s="14"/>
      <c r="Z529" s="2"/>
      <c r="AA529" s="13">
        <f>H529*I529/100</f>
      </c>
      <c r="AB529" s="13">
        <f>H529*J529/100</f>
      </c>
      <c r="AC529" s="15">
        <f>H529*K529</f>
      </c>
      <c r="AD529" s="15">
        <f>H529*M529</f>
      </c>
      <c r="AE529" s="13">
        <f>H529*L529/100</f>
      </c>
      <c r="AF529" s="13">
        <f>AA529+AB529+AE529</f>
      </c>
      <c r="AG529" s="13">
        <f>I529+J529+L529</f>
      </c>
      <c r="AH529" s="18">
        <f>$H529*I529</f>
      </c>
      <c r="AI529" s="18">
        <f>$H529*J529</f>
      </c>
      <c r="AJ529" s="18">
        <f>$H529*K529</f>
      </c>
      <c r="AK529" s="18">
        <f>$H529*L529</f>
      </c>
      <c r="AL529" s="18">
        <f>$H529*M529</f>
      </c>
      <c r="AM529" s="14"/>
      <c r="AN529" s="14"/>
      <c r="AO529" s="14"/>
    </row>
    <row x14ac:dyDescent="0.25" r="530" customHeight="1" ht="17.25">
      <c r="A530" s="2" t="s">
        <v>1072</v>
      </c>
      <c r="B530" s="2" t="s">
        <v>1033</v>
      </c>
      <c r="C530" s="2" t="s">
        <v>40</v>
      </c>
      <c r="D530" s="2" t="s">
        <v>64</v>
      </c>
      <c r="E530" s="12" t="s">
        <v>42</v>
      </c>
      <c r="F530" s="2" t="s">
        <v>43</v>
      </c>
      <c r="G530" s="2" t="s">
        <v>46</v>
      </c>
      <c r="H530" s="13">
        <v>18.38</v>
      </c>
      <c r="I530" s="13">
        <v>0.79</v>
      </c>
      <c r="J530" s="13">
        <v>1.3</v>
      </c>
      <c r="K530" s="14">
        <v>21</v>
      </c>
      <c r="L530" s="13"/>
      <c r="M530" s="13"/>
      <c r="N530" s="15"/>
      <c r="O530" s="16"/>
      <c r="P530" s="13"/>
      <c r="Q530" s="13"/>
      <c r="R530" s="17"/>
      <c r="S530" s="13"/>
      <c r="T530" s="17"/>
      <c r="U530" s="13"/>
      <c r="V530" s="16"/>
      <c r="W530" s="13"/>
      <c r="X530" s="13"/>
      <c r="Y530" s="14"/>
      <c r="Z530" s="2"/>
      <c r="AA530" s="13">
        <f>H530*I530/100</f>
      </c>
      <c r="AB530" s="13">
        <f>H530*J530/100</f>
      </c>
      <c r="AC530" s="15">
        <f>H530*K530</f>
      </c>
      <c r="AD530" s="15">
        <f>H530*M530</f>
      </c>
      <c r="AE530" s="13">
        <f>H530*L530/100</f>
      </c>
      <c r="AF530" s="13">
        <f>AA530+AB530+AE530</f>
      </c>
      <c r="AG530" s="13">
        <f>I530+J530+L530</f>
      </c>
      <c r="AH530" s="18">
        <f>$H530*I530</f>
      </c>
      <c r="AI530" s="18">
        <f>$H530*J530</f>
      </c>
      <c r="AJ530" s="18">
        <f>$H530*K530</f>
      </c>
      <c r="AK530" s="18">
        <f>$H530*L530</f>
      </c>
      <c r="AL530" s="18">
        <f>$H530*M530</f>
      </c>
      <c r="AM530" s="14"/>
      <c r="AN530" s="14"/>
      <c r="AO530" s="14"/>
    </row>
    <row x14ac:dyDescent="0.25" r="531" customHeight="1" ht="17.25">
      <c r="A531" s="2" t="s">
        <v>1073</v>
      </c>
      <c r="B531" s="2" t="s">
        <v>1033</v>
      </c>
      <c r="C531" s="2" t="s">
        <v>40</v>
      </c>
      <c r="D531" s="2" t="s">
        <v>64</v>
      </c>
      <c r="E531" s="12" t="s">
        <v>42</v>
      </c>
      <c r="F531" s="2" t="s">
        <v>43</v>
      </c>
      <c r="G531" s="2" t="s">
        <v>46</v>
      </c>
      <c r="H531" s="13">
        <v>1.47</v>
      </c>
      <c r="I531" s="13">
        <v>1.9</v>
      </c>
      <c r="J531" s="13">
        <v>2.59</v>
      </c>
      <c r="K531" s="14"/>
      <c r="L531" s="13"/>
      <c r="M531" s="13"/>
      <c r="N531" s="15"/>
      <c r="O531" s="16"/>
      <c r="P531" s="13"/>
      <c r="Q531" s="13"/>
      <c r="R531" s="17"/>
      <c r="S531" s="13"/>
      <c r="T531" s="17"/>
      <c r="U531" s="13"/>
      <c r="V531" s="16"/>
      <c r="W531" s="13"/>
      <c r="X531" s="13"/>
      <c r="Y531" s="14"/>
      <c r="Z531" s="2"/>
      <c r="AA531" s="13">
        <f>H531*I531/100</f>
      </c>
      <c r="AB531" s="13">
        <f>H531*J531/100</f>
      </c>
      <c r="AC531" s="15">
        <f>H531*K531</f>
      </c>
      <c r="AD531" s="15">
        <f>H531*M531</f>
      </c>
      <c r="AE531" s="13">
        <f>H531*L531/100</f>
      </c>
      <c r="AF531" s="13">
        <f>AA531+AB531+AE531</f>
      </c>
      <c r="AG531" s="13">
        <f>I531+J531+L531</f>
      </c>
      <c r="AH531" s="18">
        <f>$H531*I531</f>
      </c>
      <c r="AI531" s="18">
        <f>$H531*J531</f>
      </c>
      <c r="AJ531" s="18">
        <f>$H531*K531</f>
      </c>
      <c r="AK531" s="18">
        <f>$H531*L531</f>
      </c>
      <c r="AL531" s="18">
        <f>$H531*M531</f>
      </c>
      <c r="AM531" s="14"/>
      <c r="AN531" s="14"/>
      <c r="AO531" s="14"/>
    </row>
    <row x14ac:dyDescent="0.25" r="532" customHeight="1" ht="17.25">
      <c r="A532" s="2" t="s">
        <v>1074</v>
      </c>
      <c r="B532" s="2" t="s">
        <v>1033</v>
      </c>
      <c r="C532" s="2" t="s">
        <v>40</v>
      </c>
      <c r="D532" s="2" t="s">
        <v>64</v>
      </c>
      <c r="E532" s="12" t="s">
        <v>42</v>
      </c>
      <c r="F532" s="2" t="s">
        <v>43</v>
      </c>
      <c r="G532" s="2" t="s">
        <v>46</v>
      </c>
      <c r="H532" s="13">
        <v>1.15</v>
      </c>
      <c r="I532" s="13">
        <v>1.75</v>
      </c>
      <c r="J532" s="13">
        <v>1.13</v>
      </c>
      <c r="K532" s="14"/>
      <c r="L532" s="13"/>
      <c r="M532" s="13"/>
      <c r="N532" s="15"/>
      <c r="O532" s="16"/>
      <c r="P532" s="13"/>
      <c r="Q532" s="13"/>
      <c r="R532" s="17"/>
      <c r="S532" s="13"/>
      <c r="T532" s="17"/>
      <c r="U532" s="13"/>
      <c r="V532" s="16"/>
      <c r="W532" s="13"/>
      <c r="X532" s="13"/>
      <c r="Y532" s="14"/>
      <c r="Z532" s="2"/>
      <c r="AA532" s="13">
        <f>H532*I532/100</f>
      </c>
      <c r="AB532" s="13">
        <f>H532*J532/100</f>
      </c>
      <c r="AC532" s="15">
        <f>H532*K532</f>
      </c>
      <c r="AD532" s="15">
        <f>H532*M532</f>
      </c>
      <c r="AE532" s="13">
        <f>H532*L532/100</f>
      </c>
      <c r="AF532" s="13">
        <f>AA532+AB532+AE532</f>
      </c>
      <c r="AG532" s="13">
        <f>I532+J532+L532</f>
      </c>
      <c r="AH532" s="18">
        <f>$H532*I532</f>
      </c>
      <c r="AI532" s="18">
        <f>$H532*J532</f>
      </c>
      <c r="AJ532" s="18">
        <f>$H532*K532</f>
      </c>
      <c r="AK532" s="18">
        <f>$H532*L532</f>
      </c>
      <c r="AL532" s="18">
        <f>$H532*M532</f>
      </c>
      <c r="AM532" s="14"/>
      <c r="AN532" s="14"/>
      <c r="AO532" s="14"/>
    </row>
    <row x14ac:dyDescent="0.25" r="533" customHeight="1" ht="17.25">
      <c r="A533" s="2" t="s">
        <v>1075</v>
      </c>
      <c r="B533" s="2" t="s">
        <v>1033</v>
      </c>
      <c r="C533" s="2" t="s">
        <v>40</v>
      </c>
      <c r="D533" s="2" t="s">
        <v>64</v>
      </c>
      <c r="E533" s="2" t="s">
        <v>52</v>
      </c>
      <c r="F533" s="2" t="s">
        <v>1043</v>
      </c>
      <c r="G533" s="2" t="s">
        <v>1016</v>
      </c>
      <c r="H533" s="13">
        <f>23.9+44.7+9.9</f>
      </c>
      <c r="I533" s="15">
        <f>(1.8*23.9+2.3*44.7+1.9*9.9)/$H533</f>
      </c>
      <c r="J533" s="15">
        <f>(5*23.9+4.9*44.7+3.8*9.9)/$H533</f>
      </c>
      <c r="K533" s="17">
        <f>(43*23.9+55*44.7+34*9.9)/$H533</f>
      </c>
      <c r="L533" s="13"/>
      <c r="M533" s="13"/>
      <c r="N533" s="15"/>
      <c r="O533" s="16"/>
      <c r="P533" s="13"/>
      <c r="Q533" s="13"/>
      <c r="R533" s="17"/>
      <c r="S533" s="13"/>
      <c r="T533" s="17"/>
      <c r="U533" s="13"/>
      <c r="V533" s="16"/>
      <c r="W533" s="13"/>
      <c r="X533" s="13"/>
      <c r="Y533" s="14"/>
      <c r="Z533" s="2"/>
      <c r="AA533" s="13">
        <f>H533*I533/100</f>
      </c>
      <c r="AB533" s="13">
        <f>H533*J533/100</f>
      </c>
      <c r="AC533" s="15">
        <f>H533*K533</f>
      </c>
      <c r="AD533" s="15">
        <f>H533*M533</f>
      </c>
      <c r="AE533" s="13">
        <f>H533*L533/100</f>
      </c>
      <c r="AF533" s="13">
        <f>AA533+AB533+AE533</f>
      </c>
      <c r="AG533" s="13">
        <f>I533+J533+L533</f>
      </c>
      <c r="AH533" s="18">
        <f>$H533*I533</f>
      </c>
      <c r="AI533" s="18">
        <f>$H533*J533</f>
      </c>
      <c r="AJ533" s="18">
        <f>$H533*K533</f>
      </c>
      <c r="AK533" s="18">
        <f>$H533*L533</f>
      </c>
      <c r="AL533" s="18">
        <f>$H533*M533</f>
      </c>
      <c r="AM533" s="14"/>
      <c r="AN533" s="14"/>
      <c r="AO533" s="14"/>
    </row>
    <row x14ac:dyDescent="0.25" r="534" customHeight="1" ht="17.25">
      <c r="A534" s="2" t="s">
        <v>1076</v>
      </c>
      <c r="B534" s="2" t="s">
        <v>1077</v>
      </c>
      <c r="C534" s="2" t="s">
        <v>40</v>
      </c>
      <c r="D534" s="2" t="s">
        <v>64</v>
      </c>
      <c r="E534" s="2" t="s">
        <v>52</v>
      </c>
      <c r="F534" s="2" t="s">
        <v>1078</v>
      </c>
      <c r="G534" s="2" t="s">
        <v>108</v>
      </c>
      <c r="H534" s="13">
        <v>8.11</v>
      </c>
      <c r="I534" s="13">
        <v>9.1</v>
      </c>
      <c r="J534" s="13">
        <v>14.6</v>
      </c>
      <c r="K534" s="14">
        <v>12</v>
      </c>
      <c r="L534" s="13"/>
      <c r="M534" s="13"/>
      <c r="N534" s="15"/>
      <c r="O534" s="16"/>
      <c r="P534" s="13"/>
      <c r="Q534" s="13"/>
      <c r="R534" s="17"/>
      <c r="S534" s="13"/>
      <c r="T534" s="17"/>
      <c r="U534" s="13"/>
      <c r="V534" s="16"/>
      <c r="W534" s="13"/>
      <c r="X534" s="13"/>
      <c r="Y534" s="14"/>
      <c r="Z534" s="2"/>
      <c r="AA534" s="13">
        <f>H534*I534/100</f>
      </c>
      <c r="AB534" s="13">
        <f>H534*J534/100</f>
      </c>
      <c r="AC534" s="15">
        <f>H534*K534</f>
      </c>
      <c r="AD534" s="15">
        <f>H534*M534</f>
      </c>
      <c r="AE534" s="13">
        <f>H534*L534/100</f>
      </c>
      <c r="AF534" s="13">
        <f>AA534+AB534+AE534</f>
      </c>
      <c r="AG534" s="13">
        <f>I534+J534+L534</f>
      </c>
      <c r="AH534" s="18">
        <f>$H534*I534</f>
      </c>
      <c r="AI534" s="18">
        <f>$H534*J534</f>
      </c>
      <c r="AJ534" s="18">
        <f>$H534*K534</f>
      </c>
      <c r="AK534" s="18">
        <f>$H534*L534</f>
      </c>
      <c r="AL534" s="18">
        <f>$H534*M534</f>
      </c>
      <c r="AM534" s="14"/>
      <c r="AN534" s="14"/>
      <c r="AO534" s="14"/>
    </row>
    <row x14ac:dyDescent="0.25" r="535" customHeight="1" ht="17.25">
      <c r="A535" s="2" t="s">
        <v>1079</v>
      </c>
      <c r="B535" s="2" t="s">
        <v>1077</v>
      </c>
      <c r="C535" s="2" t="s">
        <v>40</v>
      </c>
      <c r="D535" s="2" t="s">
        <v>64</v>
      </c>
      <c r="E535" s="2" t="s">
        <v>52</v>
      </c>
      <c r="F535" s="2" t="s">
        <v>1078</v>
      </c>
      <c r="G535" s="2" t="s">
        <v>108</v>
      </c>
      <c r="H535" s="13">
        <f>0.49+0.34</f>
      </c>
      <c r="I535" s="15">
        <f>(5.7*0.49+4*0.34)/$H535</f>
      </c>
      <c r="J535" s="15">
        <f>(5.5*0.49+4.2*0.34)/$H535</f>
      </c>
      <c r="K535" s="17">
        <f>(10*0.49+20*0.34)/$H535</f>
      </c>
      <c r="L535" s="13"/>
      <c r="M535" s="13"/>
      <c r="N535" s="15"/>
      <c r="O535" s="16"/>
      <c r="P535" s="13"/>
      <c r="Q535" s="13"/>
      <c r="R535" s="17"/>
      <c r="S535" s="13"/>
      <c r="T535" s="17"/>
      <c r="U535" s="13"/>
      <c r="V535" s="16"/>
      <c r="W535" s="13"/>
      <c r="X535" s="13"/>
      <c r="Y535" s="14"/>
      <c r="Z535" s="2"/>
      <c r="AA535" s="13">
        <f>H535*I535/100</f>
      </c>
      <c r="AB535" s="13">
        <f>H535*J535/100</f>
      </c>
      <c r="AC535" s="15">
        <f>H535*K535</f>
      </c>
      <c r="AD535" s="15">
        <f>H535*M535</f>
      </c>
      <c r="AE535" s="13">
        <f>H535*L535/100</f>
      </c>
      <c r="AF535" s="13">
        <f>AA535+AB535+AE535</f>
      </c>
      <c r="AG535" s="13">
        <f>I535+J535+L535</f>
      </c>
      <c r="AH535" s="18">
        <f>$H535*I535</f>
      </c>
      <c r="AI535" s="18">
        <f>$H535*J535</f>
      </c>
      <c r="AJ535" s="18">
        <f>$H535*K535</f>
      </c>
      <c r="AK535" s="18">
        <f>$H535*L535</f>
      </c>
      <c r="AL535" s="18">
        <f>$H535*M535</f>
      </c>
      <c r="AM535" s="14"/>
      <c r="AN535" s="14"/>
      <c r="AO535" s="14"/>
    </row>
    <row x14ac:dyDescent="0.25" r="536" customHeight="1" ht="17.25">
      <c r="A536" s="2" t="s">
        <v>1080</v>
      </c>
      <c r="B536" s="2" t="s">
        <v>1077</v>
      </c>
      <c r="C536" s="2" t="s">
        <v>40</v>
      </c>
      <c r="D536" s="2" t="s">
        <v>64</v>
      </c>
      <c r="E536" s="2" t="s">
        <v>52</v>
      </c>
      <c r="F536" s="2" t="s">
        <v>1078</v>
      </c>
      <c r="G536" s="2" t="s">
        <v>108</v>
      </c>
      <c r="H536" s="13">
        <v>16.18</v>
      </c>
      <c r="I536" s="13">
        <v>4.5</v>
      </c>
      <c r="J536" s="13">
        <v>8.2</v>
      </c>
      <c r="K536" s="14"/>
      <c r="L536" s="13"/>
      <c r="M536" s="13"/>
      <c r="N536" s="15"/>
      <c r="O536" s="16"/>
      <c r="P536" s="13"/>
      <c r="Q536" s="13"/>
      <c r="R536" s="17"/>
      <c r="S536" s="13"/>
      <c r="T536" s="17"/>
      <c r="U536" s="13"/>
      <c r="V536" s="16"/>
      <c r="W536" s="13"/>
      <c r="X536" s="13"/>
      <c r="Y536" s="14"/>
      <c r="Z536" s="2"/>
      <c r="AA536" s="13">
        <f>H536*I536/100</f>
      </c>
      <c r="AB536" s="13">
        <f>H536*J536/100</f>
      </c>
      <c r="AC536" s="15">
        <f>H536*K536</f>
      </c>
      <c r="AD536" s="15">
        <f>H536*M536</f>
      </c>
      <c r="AE536" s="13">
        <f>H536*L536/100</f>
      </c>
      <c r="AF536" s="13">
        <f>AA536+AB536+AE536</f>
      </c>
      <c r="AG536" s="13">
        <f>I536+J536+L536</f>
      </c>
      <c r="AH536" s="18">
        <f>$H536*I536</f>
      </c>
      <c r="AI536" s="18">
        <f>$H536*J536</f>
      </c>
      <c r="AJ536" s="18">
        <f>$H536*K536</f>
      </c>
      <c r="AK536" s="18">
        <f>$H536*L536</f>
      </c>
      <c r="AL536" s="18">
        <f>$H536*M536</f>
      </c>
      <c r="AM536" s="14"/>
      <c r="AN536" s="14"/>
      <c r="AO536" s="14"/>
    </row>
    <row x14ac:dyDescent="0.25" r="537" customHeight="1" ht="17.25">
      <c r="A537" s="2" t="s">
        <v>1081</v>
      </c>
      <c r="B537" s="2" t="s">
        <v>1082</v>
      </c>
      <c r="C537" s="2" t="s">
        <v>50</v>
      </c>
      <c r="D537" s="2" t="s">
        <v>1083</v>
      </c>
      <c r="E537" s="12" t="s">
        <v>42</v>
      </c>
      <c r="F537" s="2" t="s">
        <v>1084</v>
      </c>
      <c r="G537" s="2" t="s">
        <v>1085</v>
      </c>
      <c r="H537" s="13">
        <v>89.5</v>
      </c>
      <c r="I537" s="13"/>
      <c r="J537" s="13">
        <v>2.06</v>
      </c>
      <c r="K537" s="13">
        <v>38.4</v>
      </c>
      <c r="L537" s="13">
        <v>0.45</v>
      </c>
      <c r="M537" s="13"/>
      <c r="N537" s="15"/>
      <c r="O537" s="16"/>
      <c r="P537" s="13"/>
      <c r="Q537" s="13"/>
      <c r="R537" s="17"/>
      <c r="S537" s="13"/>
      <c r="T537" s="17"/>
      <c r="U537" s="13"/>
      <c r="V537" s="16"/>
      <c r="W537" s="13"/>
      <c r="X537" s="13"/>
      <c r="Y537" s="14"/>
      <c r="Z537" s="2"/>
      <c r="AA537" s="13">
        <f>H537*I537/100</f>
      </c>
      <c r="AB537" s="13">
        <f>H537*J537/100</f>
      </c>
      <c r="AC537" s="15">
        <f>H537*K537</f>
      </c>
      <c r="AD537" s="15">
        <f>H537*M537</f>
      </c>
      <c r="AE537" s="13">
        <f>H537*L537/100</f>
      </c>
      <c r="AF537" s="13">
        <f>AA537+AB537+AE537</f>
      </c>
      <c r="AG537" s="13">
        <f>I537+J537+L537</f>
      </c>
      <c r="AH537" s="18">
        <f>$H537*I537</f>
      </c>
      <c r="AI537" s="18">
        <f>$H537*J537</f>
      </c>
      <c r="AJ537" s="18">
        <f>$H537*K537</f>
      </c>
      <c r="AK537" s="18">
        <f>$H537*L537</f>
      </c>
      <c r="AL537" s="18">
        <f>$H537*M537</f>
      </c>
      <c r="AM537" s="24"/>
      <c r="AN537" s="24"/>
      <c r="AO537" s="24"/>
    </row>
    <row x14ac:dyDescent="0.25" r="538" customHeight="1" ht="17.25">
      <c r="A538" s="2" t="s">
        <v>1086</v>
      </c>
      <c r="B538" s="2" t="s">
        <v>1087</v>
      </c>
      <c r="C538" s="2" t="s">
        <v>40</v>
      </c>
      <c r="D538" s="2" t="s">
        <v>64</v>
      </c>
      <c r="E538" s="12" t="s">
        <v>42</v>
      </c>
      <c r="F538" s="2" t="s">
        <v>1088</v>
      </c>
      <c r="G538" s="2" t="s">
        <v>1089</v>
      </c>
      <c r="H538" s="13">
        <f>4+18.23</f>
      </c>
      <c r="I538" s="15">
        <f>(1.9*4+4.4*18.23)/$H538</f>
      </c>
      <c r="J538" s="15">
        <f>(40.4*4+28.1*18.23)/$H538</f>
      </c>
      <c r="K538" s="17">
        <f>(0*4+110*18.23)/$H538</f>
      </c>
      <c r="L538" s="13"/>
      <c r="M538" s="13"/>
      <c r="N538" s="15"/>
      <c r="O538" s="16"/>
      <c r="P538" s="13"/>
      <c r="Q538" s="13"/>
      <c r="R538" s="17"/>
      <c r="S538" s="13"/>
      <c r="T538" s="17"/>
      <c r="U538" s="13"/>
      <c r="V538" s="16"/>
      <c r="W538" s="13"/>
      <c r="X538" s="13"/>
      <c r="Y538" s="14"/>
      <c r="Z538" s="2"/>
      <c r="AA538" s="13">
        <f>H538*I538/100</f>
      </c>
      <c r="AB538" s="13">
        <f>H538*J538/100</f>
      </c>
      <c r="AC538" s="15">
        <f>H538*K538</f>
      </c>
      <c r="AD538" s="15">
        <f>H538*M538</f>
      </c>
      <c r="AE538" s="13">
        <f>H538*L538/100</f>
      </c>
      <c r="AF538" s="13">
        <f>AA538+AB538+AE538</f>
      </c>
      <c r="AG538" s="13">
        <f>I538+J538+L538</f>
      </c>
      <c r="AH538" s="18">
        <f>$H538*I538</f>
      </c>
      <c r="AI538" s="18">
        <f>$H538*J538</f>
      </c>
      <c r="AJ538" s="18">
        <f>$H538*K538</f>
      </c>
      <c r="AK538" s="18">
        <f>$H538*L538</f>
      </c>
      <c r="AL538" s="18">
        <f>$H538*M538</f>
      </c>
      <c r="AM538" s="14"/>
      <c r="AN538" s="14"/>
      <c r="AO538" s="14"/>
    </row>
    <row x14ac:dyDescent="0.25" r="539" customHeight="1" ht="17.25">
      <c r="A539" s="2" t="s">
        <v>1090</v>
      </c>
      <c r="B539" s="2" t="s">
        <v>1087</v>
      </c>
      <c r="C539" s="2" t="s">
        <v>40</v>
      </c>
      <c r="D539" s="2" t="s">
        <v>41</v>
      </c>
      <c r="E539" s="12" t="s">
        <v>42</v>
      </c>
      <c r="F539" s="2" t="s">
        <v>43</v>
      </c>
      <c r="G539" s="2" t="s">
        <v>46</v>
      </c>
      <c r="H539" s="13">
        <v>1.16</v>
      </c>
      <c r="I539" s="13">
        <f>0.33*8.34</f>
      </c>
      <c r="J539" s="13">
        <f>0.67*8.34</f>
      </c>
      <c r="K539" s="14"/>
      <c r="L539" s="13"/>
      <c r="M539" s="13"/>
      <c r="N539" s="15"/>
      <c r="O539" s="16"/>
      <c r="P539" s="13"/>
      <c r="Q539" s="13"/>
      <c r="R539" s="17"/>
      <c r="S539" s="13"/>
      <c r="T539" s="17"/>
      <c r="U539" s="13"/>
      <c r="V539" s="16"/>
      <c r="W539" s="13"/>
      <c r="X539" s="13"/>
      <c r="Y539" s="14"/>
      <c r="Z539" s="2"/>
      <c r="AA539" s="13">
        <f>H539*I539/100</f>
      </c>
      <c r="AB539" s="13">
        <f>H539*J539/100</f>
      </c>
      <c r="AC539" s="15">
        <f>H539*K539</f>
      </c>
      <c r="AD539" s="15">
        <f>H539*M539</f>
      </c>
      <c r="AE539" s="13">
        <f>H539*L539/100</f>
      </c>
      <c r="AF539" s="13">
        <f>AA539+AB539+AE539</f>
      </c>
      <c r="AG539" s="13">
        <f>I539+J539+L539</f>
      </c>
      <c r="AH539" s="18">
        <f>$H539*I539</f>
      </c>
      <c r="AI539" s="18">
        <f>$H539*J539</f>
      </c>
      <c r="AJ539" s="18">
        <f>$H539*K539</f>
      </c>
      <c r="AK539" s="18">
        <f>$H539*L539</f>
      </c>
      <c r="AL539" s="18">
        <f>$H539*M539</f>
      </c>
      <c r="AM539" s="14"/>
      <c r="AN539" s="14"/>
      <c r="AO539" s="14"/>
    </row>
    <row x14ac:dyDescent="0.25" r="540" customHeight="1" ht="17.25">
      <c r="A540" s="2" t="s">
        <v>1091</v>
      </c>
      <c r="B540" s="2" t="s">
        <v>1087</v>
      </c>
      <c r="C540" s="2" t="s">
        <v>40</v>
      </c>
      <c r="D540" s="2" t="s">
        <v>41</v>
      </c>
      <c r="E540" s="12" t="s">
        <v>42</v>
      </c>
      <c r="F540" s="2" t="s">
        <v>43</v>
      </c>
      <c r="G540" s="2" t="s">
        <v>1092</v>
      </c>
      <c r="H540" s="14">
        <v>10</v>
      </c>
      <c r="I540" s="13">
        <v>2.26</v>
      </c>
      <c r="J540" s="14">
        <v>6</v>
      </c>
      <c r="K540" s="14"/>
      <c r="L540" s="13"/>
      <c r="M540" s="13"/>
      <c r="N540" s="15"/>
      <c r="O540" s="16"/>
      <c r="P540" s="13"/>
      <c r="Q540" s="13"/>
      <c r="R540" s="17"/>
      <c r="S540" s="13"/>
      <c r="T540" s="17"/>
      <c r="U540" s="13"/>
      <c r="V540" s="16"/>
      <c r="W540" s="13"/>
      <c r="X540" s="13"/>
      <c r="Y540" s="14"/>
      <c r="Z540" s="2"/>
      <c r="AA540" s="13">
        <f>H540*I540/100</f>
      </c>
      <c r="AB540" s="13">
        <f>H540*J540/100</f>
      </c>
      <c r="AC540" s="15">
        <f>H540*K540</f>
      </c>
      <c r="AD540" s="15">
        <f>H540*M540</f>
      </c>
      <c r="AE540" s="13">
        <f>H540*L540/100</f>
      </c>
      <c r="AF540" s="13">
        <f>AA540+AB540+AE540</f>
      </c>
      <c r="AG540" s="13">
        <f>I540+J540+L540</f>
      </c>
      <c r="AH540" s="18">
        <f>$H540*I540</f>
      </c>
      <c r="AI540" s="18">
        <f>$H540*J540</f>
      </c>
      <c r="AJ540" s="18">
        <f>$H540*K540</f>
      </c>
      <c r="AK540" s="18">
        <f>$H540*L540</f>
      </c>
      <c r="AL540" s="18">
        <f>$H540*M540</f>
      </c>
      <c r="AM540" s="14"/>
      <c r="AN540" s="14"/>
      <c r="AO540" s="14"/>
    </row>
    <row x14ac:dyDescent="0.25" r="541" customHeight="1" ht="17.25">
      <c r="A541" s="2" t="s">
        <v>1093</v>
      </c>
      <c r="B541" s="2" t="s">
        <v>1087</v>
      </c>
      <c r="C541" s="2" t="s">
        <v>40</v>
      </c>
      <c r="D541" s="2" t="s">
        <v>41</v>
      </c>
      <c r="E541" s="12" t="s">
        <v>42</v>
      </c>
      <c r="F541" s="2" t="s">
        <v>43</v>
      </c>
      <c r="G541" s="2" t="s">
        <v>1094</v>
      </c>
      <c r="H541" s="13">
        <v>0.12</v>
      </c>
      <c r="I541" s="14">
        <v>8</v>
      </c>
      <c r="J541" s="14">
        <v>1</v>
      </c>
      <c r="K541" s="14"/>
      <c r="L541" s="13"/>
      <c r="M541" s="13"/>
      <c r="N541" s="15"/>
      <c r="O541" s="16"/>
      <c r="P541" s="13"/>
      <c r="Q541" s="13"/>
      <c r="R541" s="17"/>
      <c r="S541" s="13"/>
      <c r="T541" s="17"/>
      <c r="U541" s="13"/>
      <c r="V541" s="16"/>
      <c r="W541" s="13"/>
      <c r="X541" s="13"/>
      <c r="Y541" s="14"/>
      <c r="Z541" s="2"/>
      <c r="AA541" s="13">
        <f>H541*I541/100</f>
      </c>
      <c r="AB541" s="13">
        <f>H541*J541/100</f>
      </c>
      <c r="AC541" s="15">
        <f>H541*K541</f>
      </c>
      <c r="AD541" s="15">
        <f>H541*M541</f>
      </c>
      <c r="AE541" s="13">
        <f>H541*L541/100</f>
      </c>
      <c r="AF541" s="13">
        <f>AA541+AB541+AE541</f>
      </c>
      <c r="AG541" s="13">
        <f>I541+J541+L541</f>
      </c>
      <c r="AH541" s="18">
        <f>$H541*I541</f>
      </c>
      <c r="AI541" s="18">
        <f>$H541*J541</f>
      </c>
      <c r="AJ541" s="18">
        <f>$H541*K541</f>
      </c>
      <c r="AK541" s="18">
        <f>$H541*L541</f>
      </c>
      <c r="AL541" s="18">
        <f>$H541*M541</f>
      </c>
      <c r="AM541" s="14"/>
      <c r="AN541" s="14"/>
      <c r="AO541" s="14"/>
    </row>
    <row x14ac:dyDescent="0.25" r="542" customHeight="1" ht="17.25">
      <c r="A542" s="2" t="s">
        <v>1095</v>
      </c>
      <c r="B542" s="2" t="s">
        <v>1087</v>
      </c>
      <c r="C542" s="2" t="s">
        <v>40</v>
      </c>
      <c r="D542" s="2" t="s">
        <v>41</v>
      </c>
      <c r="E542" s="12" t="s">
        <v>42</v>
      </c>
      <c r="F542" s="2" t="s">
        <v>43</v>
      </c>
      <c r="G542" s="2" t="s">
        <v>46</v>
      </c>
      <c r="H542" s="14">
        <v>10</v>
      </c>
      <c r="I542" s="13">
        <v>2.4</v>
      </c>
      <c r="J542" s="13">
        <v>7.4</v>
      </c>
      <c r="K542" s="14"/>
      <c r="L542" s="13"/>
      <c r="M542" s="13"/>
      <c r="N542" s="15"/>
      <c r="O542" s="16"/>
      <c r="P542" s="13"/>
      <c r="Q542" s="13"/>
      <c r="R542" s="17"/>
      <c r="S542" s="13"/>
      <c r="T542" s="17"/>
      <c r="U542" s="13"/>
      <c r="V542" s="16"/>
      <c r="W542" s="13"/>
      <c r="X542" s="13"/>
      <c r="Y542" s="14"/>
      <c r="Z542" s="2"/>
      <c r="AA542" s="13">
        <f>H542*I542/100</f>
      </c>
      <c r="AB542" s="13">
        <f>H542*J542/100</f>
      </c>
      <c r="AC542" s="15">
        <f>H542*K542</f>
      </c>
      <c r="AD542" s="15">
        <f>H542*M542</f>
      </c>
      <c r="AE542" s="13">
        <f>H542*L542/100</f>
      </c>
      <c r="AF542" s="13">
        <f>AA542+AB542+AE542</f>
      </c>
      <c r="AG542" s="13">
        <f>I542+J542+L542</f>
      </c>
      <c r="AH542" s="18">
        <f>$H542*I542</f>
      </c>
      <c r="AI542" s="18">
        <f>$H542*J542</f>
      </c>
      <c r="AJ542" s="18">
        <f>$H542*K542</f>
      </c>
      <c r="AK542" s="18">
        <f>$H542*L542</f>
      </c>
      <c r="AL542" s="18">
        <f>$H542*M542</f>
      </c>
      <c r="AM542" s="14"/>
      <c r="AN542" s="14"/>
      <c r="AO542" s="14"/>
    </row>
    <row x14ac:dyDescent="0.25" r="543" customHeight="1" ht="17.25">
      <c r="A543" s="2" t="s">
        <v>1096</v>
      </c>
      <c r="B543" s="2" t="s">
        <v>1087</v>
      </c>
      <c r="C543" s="2" t="s">
        <v>40</v>
      </c>
      <c r="D543" s="2" t="s">
        <v>41</v>
      </c>
      <c r="E543" s="12" t="s">
        <v>42</v>
      </c>
      <c r="F543" s="2" t="s">
        <v>43</v>
      </c>
      <c r="G543" s="2" t="s">
        <v>46</v>
      </c>
      <c r="H543" s="13">
        <v>0.9</v>
      </c>
      <c r="I543" s="13">
        <v>5.4</v>
      </c>
      <c r="J543" s="13">
        <v>12.1</v>
      </c>
      <c r="K543" s="14"/>
      <c r="L543" s="13"/>
      <c r="M543" s="13"/>
      <c r="N543" s="15"/>
      <c r="O543" s="16"/>
      <c r="P543" s="13"/>
      <c r="Q543" s="13"/>
      <c r="R543" s="17"/>
      <c r="S543" s="13"/>
      <c r="T543" s="17"/>
      <c r="U543" s="13"/>
      <c r="V543" s="16"/>
      <c r="W543" s="13"/>
      <c r="X543" s="13"/>
      <c r="Y543" s="14"/>
      <c r="Z543" s="2"/>
      <c r="AA543" s="13">
        <f>H543*I543/100</f>
      </c>
      <c r="AB543" s="13">
        <f>H543*J543/100</f>
      </c>
      <c r="AC543" s="15">
        <f>H543*K543</f>
      </c>
      <c r="AD543" s="15">
        <f>H543*M543</f>
      </c>
      <c r="AE543" s="13">
        <f>H543*L543/100</f>
      </c>
      <c r="AF543" s="13">
        <f>AA543+AB543+AE543</f>
      </c>
      <c r="AG543" s="13">
        <f>I543+J543+L543</f>
      </c>
      <c r="AH543" s="18">
        <f>$H543*I543</f>
      </c>
      <c r="AI543" s="18">
        <f>$H543*J543</f>
      </c>
      <c r="AJ543" s="18">
        <f>$H543*K543</f>
      </c>
      <c r="AK543" s="18">
        <f>$H543*L543</f>
      </c>
      <c r="AL543" s="18">
        <f>$H543*M543</f>
      </c>
      <c r="AM543" s="14"/>
      <c r="AN543" s="14"/>
      <c r="AO543" s="14"/>
    </row>
    <row x14ac:dyDescent="0.25" r="544" customHeight="1" ht="17.25">
      <c r="A544" s="2" t="s">
        <v>1097</v>
      </c>
      <c r="B544" s="2" t="s">
        <v>1087</v>
      </c>
      <c r="C544" s="2" t="s">
        <v>40</v>
      </c>
      <c r="D544" s="2" t="s">
        <v>64</v>
      </c>
      <c r="E544" s="12" t="s">
        <v>42</v>
      </c>
      <c r="F544" s="2" t="s">
        <v>43</v>
      </c>
      <c r="G544" s="2" t="s">
        <v>46</v>
      </c>
      <c r="H544" s="14">
        <v>4</v>
      </c>
      <c r="I544" s="14">
        <v>3</v>
      </c>
      <c r="J544" s="14">
        <v>10</v>
      </c>
      <c r="K544" s="14"/>
      <c r="L544" s="13"/>
      <c r="M544" s="13"/>
      <c r="N544" s="15"/>
      <c r="O544" s="16"/>
      <c r="P544" s="13"/>
      <c r="Q544" s="13"/>
      <c r="R544" s="17"/>
      <c r="S544" s="13"/>
      <c r="T544" s="17"/>
      <c r="U544" s="13"/>
      <c r="V544" s="16"/>
      <c r="W544" s="13"/>
      <c r="X544" s="13"/>
      <c r="Y544" s="14"/>
      <c r="Z544" s="2"/>
      <c r="AA544" s="13">
        <f>H544*I544/100</f>
      </c>
      <c r="AB544" s="13">
        <f>H544*J544/100</f>
      </c>
      <c r="AC544" s="15">
        <f>H544*K544</f>
      </c>
      <c r="AD544" s="15">
        <f>H544*M544</f>
      </c>
      <c r="AE544" s="13">
        <f>H544*L544/100</f>
      </c>
      <c r="AF544" s="13">
        <f>AA544+AB544+AE544</f>
      </c>
      <c r="AG544" s="13">
        <f>I544+J544+L544</f>
      </c>
      <c r="AH544" s="18">
        <f>$H544*I544</f>
      </c>
      <c r="AI544" s="18">
        <f>$H544*J544</f>
      </c>
      <c r="AJ544" s="18">
        <f>$H544*K544</f>
      </c>
      <c r="AK544" s="18">
        <f>$H544*L544</f>
      </c>
      <c r="AL544" s="18">
        <f>$H544*M544</f>
      </c>
      <c r="AM544" s="14"/>
      <c r="AN544" s="14"/>
      <c r="AO544" s="14"/>
    </row>
    <row x14ac:dyDescent="0.25" r="545" customHeight="1" ht="17.25">
      <c r="A545" s="2" t="s">
        <v>1098</v>
      </c>
      <c r="B545" s="2" t="s">
        <v>1087</v>
      </c>
      <c r="C545" s="2" t="s">
        <v>40</v>
      </c>
      <c r="D545" s="2" t="s">
        <v>1099</v>
      </c>
      <c r="E545" s="2" t="s">
        <v>52</v>
      </c>
      <c r="F545" s="2" t="s">
        <v>1100</v>
      </c>
      <c r="G545" s="2" t="s">
        <v>1101</v>
      </c>
      <c r="H545" s="14">
        <v>394</v>
      </c>
      <c r="I545" s="13">
        <v>1.6</v>
      </c>
      <c r="J545" s="13">
        <v>4.2</v>
      </c>
      <c r="K545" s="14">
        <v>36</v>
      </c>
      <c r="L545" s="13"/>
      <c r="M545" s="13"/>
      <c r="N545" s="15"/>
      <c r="O545" s="16"/>
      <c r="P545" s="13"/>
      <c r="Q545" s="13"/>
      <c r="R545" s="17"/>
      <c r="S545" s="13"/>
      <c r="T545" s="17"/>
      <c r="U545" s="13"/>
      <c r="V545" s="16"/>
      <c r="W545" s="13"/>
      <c r="X545" s="13"/>
      <c r="Y545" s="14"/>
      <c r="Z545" s="2"/>
      <c r="AA545" s="13">
        <f>H545*I545/100</f>
      </c>
      <c r="AB545" s="13">
        <f>H545*J545/100</f>
      </c>
      <c r="AC545" s="15">
        <f>H545*K545</f>
      </c>
      <c r="AD545" s="15">
        <f>H545*M545</f>
      </c>
      <c r="AE545" s="13">
        <f>H545*L545/100</f>
      </c>
      <c r="AF545" s="13">
        <f>AA545+AB545+AE545</f>
      </c>
      <c r="AG545" s="13">
        <f>I545+J545+L545</f>
      </c>
      <c r="AH545" s="18">
        <f>$H545*I545</f>
      </c>
      <c r="AI545" s="18">
        <f>$H545*J545</f>
      </c>
      <c r="AJ545" s="18">
        <f>$H545*K545</f>
      </c>
      <c r="AK545" s="18">
        <f>$H545*L545</f>
      </c>
      <c r="AL545" s="18">
        <f>$H545*M545</f>
      </c>
      <c r="AM545" s="14"/>
      <c r="AN545" s="14"/>
      <c r="AO545" s="14"/>
    </row>
    <row x14ac:dyDescent="0.25" r="546" customHeight="1" ht="17.25">
      <c r="A546" s="2" t="s">
        <v>1102</v>
      </c>
      <c r="B546" s="2" t="s">
        <v>1087</v>
      </c>
      <c r="C546" s="2" t="s">
        <v>40</v>
      </c>
      <c r="D546" s="2" t="s">
        <v>41</v>
      </c>
      <c r="E546" s="12" t="s">
        <v>42</v>
      </c>
      <c r="F546" s="2" t="s">
        <v>43</v>
      </c>
      <c r="G546" s="2" t="s">
        <v>1103</v>
      </c>
      <c r="H546" s="14">
        <v>7</v>
      </c>
      <c r="I546" s="13">
        <v>8.33</v>
      </c>
      <c r="J546" s="13">
        <v>0.38</v>
      </c>
      <c r="K546" s="14">
        <v>72</v>
      </c>
      <c r="L546" s="13"/>
      <c r="M546" s="13"/>
      <c r="N546" s="15"/>
      <c r="O546" s="16"/>
      <c r="P546" s="13"/>
      <c r="Q546" s="13"/>
      <c r="R546" s="17"/>
      <c r="S546" s="13"/>
      <c r="T546" s="17"/>
      <c r="U546" s="13"/>
      <c r="V546" s="16"/>
      <c r="W546" s="13"/>
      <c r="X546" s="13"/>
      <c r="Y546" s="14"/>
      <c r="Z546" s="2"/>
      <c r="AA546" s="13">
        <f>H546*I546/100</f>
      </c>
      <c r="AB546" s="13">
        <f>H546*J546/100</f>
      </c>
      <c r="AC546" s="15">
        <f>H546*K546</f>
      </c>
      <c r="AD546" s="15">
        <f>H546*M546</f>
      </c>
      <c r="AE546" s="13">
        <f>H546*L546/100</f>
      </c>
      <c r="AF546" s="13">
        <f>AA546+AB546+AE546</f>
      </c>
      <c r="AG546" s="13">
        <f>I546+J546+L546</f>
      </c>
      <c r="AH546" s="18">
        <f>$H546*I546</f>
      </c>
      <c r="AI546" s="18">
        <f>$H546*J546</f>
      </c>
      <c r="AJ546" s="18">
        <f>$H546*K546</f>
      </c>
      <c r="AK546" s="18">
        <f>$H546*L546</f>
      </c>
      <c r="AL546" s="18">
        <f>$H546*M546</f>
      </c>
      <c r="AM546" s="14"/>
      <c r="AN546" s="14"/>
      <c r="AO546" s="14"/>
    </row>
    <row x14ac:dyDescent="0.25" r="547" customHeight="1" ht="17.25">
      <c r="A547" s="2" t="s">
        <v>1104</v>
      </c>
      <c r="B547" s="2" t="s">
        <v>1087</v>
      </c>
      <c r="C547" s="2" t="s">
        <v>40</v>
      </c>
      <c r="D547" s="2" t="s">
        <v>41</v>
      </c>
      <c r="E547" s="12" t="s">
        <v>42</v>
      </c>
      <c r="F547" s="2" t="s">
        <v>43</v>
      </c>
      <c r="G547" s="2" t="s">
        <v>1094</v>
      </c>
      <c r="H547" s="13">
        <v>0.15</v>
      </c>
      <c r="I547" s="14">
        <v>7</v>
      </c>
      <c r="J547" s="13">
        <v>2.5</v>
      </c>
      <c r="K547" s="14"/>
      <c r="L547" s="13"/>
      <c r="M547" s="13"/>
      <c r="N547" s="15"/>
      <c r="O547" s="16"/>
      <c r="P547" s="13"/>
      <c r="Q547" s="13"/>
      <c r="R547" s="17"/>
      <c r="S547" s="13"/>
      <c r="T547" s="17"/>
      <c r="U547" s="13"/>
      <c r="V547" s="16"/>
      <c r="W547" s="13"/>
      <c r="X547" s="13"/>
      <c r="Y547" s="14"/>
      <c r="Z547" s="2"/>
      <c r="AA547" s="13">
        <f>H547*I547/100</f>
      </c>
      <c r="AB547" s="13">
        <f>H547*J547/100</f>
      </c>
      <c r="AC547" s="15">
        <f>H547*K547</f>
      </c>
      <c r="AD547" s="15">
        <f>H547*M547</f>
      </c>
      <c r="AE547" s="13">
        <f>H547*L547/100</f>
      </c>
      <c r="AF547" s="13">
        <f>AA547+AB547+AE547</f>
      </c>
      <c r="AG547" s="13">
        <f>I547+J547+L547</f>
      </c>
      <c r="AH547" s="18">
        <f>$H547*I547</f>
      </c>
      <c r="AI547" s="18">
        <f>$H547*J547</f>
      </c>
      <c r="AJ547" s="18">
        <f>$H547*K547</f>
      </c>
      <c r="AK547" s="18">
        <f>$H547*L547</f>
      </c>
      <c r="AL547" s="18">
        <f>$H547*M547</f>
      </c>
      <c r="AM547" s="14"/>
      <c r="AN547" s="14"/>
      <c r="AO547" s="14"/>
    </row>
    <row x14ac:dyDescent="0.25" r="548" customHeight="1" ht="17.25">
      <c r="A548" s="2" t="s">
        <v>1105</v>
      </c>
      <c r="B548" s="2" t="s">
        <v>1106</v>
      </c>
      <c r="C548" s="2" t="s">
        <v>40</v>
      </c>
      <c r="D548" s="2" t="s">
        <v>41</v>
      </c>
      <c r="E548" s="12" t="s">
        <v>42</v>
      </c>
      <c r="F548" s="2" t="s">
        <v>43</v>
      </c>
      <c r="G548" s="2" t="s">
        <v>1107</v>
      </c>
      <c r="H548" s="13">
        <v>10.1</v>
      </c>
      <c r="I548" s="13">
        <v>0.4</v>
      </c>
      <c r="J548" s="13">
        <v>1.6</v>
      </c>
      <c r="K548" s="14"/>
      <c r="L548" s="13"/>
      <c r="M548" s="13"/>
      <c r="N548" s="15"/>
      <c r="O548" s="16"/>
      <c r="P548" s="13"/>
      <c r="Q548" s="13"/>
      <c r="R548" s="17"/>
      <c r="S548" s="13"/>
      <c r="T548" s="17"/>
      <c r="U548" s="13"/>
      <c r="V548" s="16"/>
      <c r="W548" s="13"/>
      <c r="X548" s="13"/>
      <c r="Y548" s="14"/>
      <c r="Z548" s="2"/>
      <c r="AA548" s="13">
        <f>H548*I548/100</f>
      </c>
      <c r="AB548" s="13">
        <f>H548*J548/100</f>
      </c>
      <c r="AC548" s="15">
        <f>H548*K548</f>
      </c>
      <c r="AD548" s="15">
        <f>H548*M548</f>
      </c>
      <c r="AE548" s="13">
        <f>H548*L548/100</f>
      </c>
      <c r="AF548" s="13">
        <f>AA548+AB548+AE548</f>
      </c>
      <c r="AG548" s="13">
        <f>I548+J548+L548</f>
      </c>
      <c r="AH548" s="18">
        <f>$H548*I548</f>
      </c>
      <c r="AI548" s="18">
        <f>$H548*J548</f>
      </c>
      <c r="AJ548" s="18">
        <f>$H548*K548</f>
      </c>
      <c r="AK548" s="18">
        <f>$H548*L548</f>
      </c>
      <c r="AL548" s="18">
        <f>$H548*M548</f>
      </c>
      <c r="AM548" s="14"/>
      <c r="AN548" s="14"/>
      <c r="AO548" s="14"/>
    </row>
    <row x14ac:dyDescent="0.25" r="549" customHeight="1" ht="17.25">
      <c r="A549" s="2" t="s">
        <v>1108</v>
      </c>
      <c r="B549" s="2" t="s">
        <v>1106</v>
      </c>
      <c r="C549" s="2" t="s">
        <v>40</v>
      </c>
      <c r="D549" s="2" t="s">
        <v>41</v>
      </c>
      <c r="E549" s="12" t="s">
        <v>42</v>
      </c>
      <c r="F549" s="2" t="s">
        <v>43</v>
      </c>
      <c r="G549" s="2" t="s">
        <v>1109</v>
      </c>
      <c r="H549" s="13">
        <v>7.83</v>
      </c>
      <c r="I549" s="13">
        <v>1.1</v>
      </c>
      <c r="J549" s="13">
        <v>6.8</v>
      </c>
      <c r="K549" s="14">
        <v>27</v>
      </c>
      <c r="L549" s="13"/>
      <c r="M549" s="13"/>
      <c r="N549" s="15"/>
      <c r="O549" s="16"/>
      <c r="P549" s="13"/>
      <c r="Q549" s="13"/>
      <c r="R549" s="17"/>
      <c r="S549" s="13"/>
      <c r="T549" s="17"/>
      <c r="U549" s="13"/>
      <c r="V549" s="16"/>
      <c r="W549" s="13"/>
      <c r="X549" s="13"/>
      <c r="Y549" s="14"/>
      <c r="Z549" s="2"/>
      <c r="AA549" s="13">
        <f>H549*I549/100</f>
      </c>
      <c r="AB549" s="13">
        <f>H549*J549/100</f>
      </c>
      <c r="AC549" s="15">
        <f>H549*K549</f>
      </c>
      <c r="AD549" s="15">
        <f>H549*M549</f>
      </c>
      <c r="AE549" s="13">
        <f>H549*L549/100</f>
      </c>
      <c r="AF549" s="13">
        <f>AA549+AB549+AE549</f>
      </c>
      <c r="AG549" s="13">
        <f>I549+J549+L549</f>
      </c>
      <c r="AH549" s="18">
        <f>$H549*I549</f>
      </c>
      <c r="AI549" s="18">
        <f>$H549*J549</f>
      </c>
      <c r="AJ549" s="18">
        <f>$H549*K549</f>
      </c>
      <c r="AK549" s="18">
        <f>$H549*L549</f>
      </c>
      <c r="AL549" s="18">
        <f>$H549*M549</f>
      </c>
      <c r="AM549" s="14"/>
      <c r="AN549" s="14"/>
      <c r="AO549" s="14"/>
    </row>
    <row x14ac:dyDescent="0.25" r="550" customHeight="1" ht="17.25">
      <c r="A550" s="2" t="s">
        <v>1110</v>
      </c>
      <c r="B550" s="2" t="s">
        <v>1106</v>
      </c>
      <c r="C550" s="2" t="s">
        <v>40</v>
      </c>
      <c r="D550" s="2" t="s">
        <v>41</v>
      </c>
      <c r="E550" s="12" t="s">
        <v>42</v>
      </c>
      <c r="F550" s="2" t="s">
        <v>43</v>
      </c>
      <c r="G550" s="2" t="s">
        <v>1109</v>
      </c>
      <c r="H550" s="14">
        <v>1</v>
      </c>
      <c r="I550" s="15">
        <v>2</v>
      </c>
      <c r="J550" s="13">
        <v>3.5</v>
      </c>
      <c r="K550" s="14">
        <v>14</v>
      </c>
      <c r="L550" s="13"/>
      <c r="M550" s="13"/>
      <c r="N550" s="15"/>
      <c r="O550" s="16"/>
      <c r="P550" s="13"/>
      <c r="Q550" s="13"/>
      <c r="R550" s="17"/>
      <c r="S550" s="13"/>
      <c r="T550" s="17"/>
      <c r="U550" s="13"/>
      <c r="V550" s="16"/>
      <c r="W550" s="13"/>
      <c r="X550" s="13"/>
      <c r="Y550" s="14"/>
      <c r="Z550" s="2"/>
      <c r="AA550" s="13">
        <f>H550*I550/100</f>
      </c>
      <c r="AB550" s="13">
        <f>H550*J550/100</f>
      </c>
      <c r="AC550" s="15">
        <f>H550*K550</f>
      </c>
      <c r="AD550" s="15">
        <f>H550*M550</f>
      </c>
      <c r="AE550" s="13">
        <f>H550*L550/100</f>
      </c>
      <c r="AF550" s="13">
        <f>AA550+AB550+AE550</f>
      </c>
      <c r="AG550" s="13">
        <f>I550+J550+L550</f>
      </c>
      <c r="AH550" s="18">
        <f>$H550*I550</f>
      </c>
      <c r="AI550" s="18">
        <f>$H550*J550</f>
      </c>
      <c r="AJ550" s="18">
        <f>$H550*K550</f>
      </c>
      <c r="AK550" s="18">
        <f>$H550*L550</f>
      </c>
      <c r="AL550" s="18">
        <f>$H550*M550</f>
      </c>
      <c r="AM550" s="14"/>
      <c r="AN550" s="14"/>
      <c r="AO550" s="14"/>
    </row>
    <row x14ac:dyDescent="0.25" r="551" customHeight="1" ht="17.25">
      <c r="A551" s="2" t="s">
        <v>1111</v>
      </c>
      <c r="B551" s="2" t="s">
        <v>1106</v>
      </c>
      <c r="C551" s="2" t="s">
        <v>40</v>
      </c>
      <c r="D551" s="2" t="s">
        <v>41</v>
      </c>
      <c r="E551" s="12" t="s">
        <v>42</v>
      </c>
      <c r="F551" s="2" t="s">
        <v>43</v>
      </c>
      <c r="G551" s="2" t="s">
        <v>1109</v>
      </c>
      <c r="H551" s="13">
        <v>1.35</v>
      </c>
      <c r="I551" s="13">
        <v>0.18</v>
      </c>
      <c r="J551" s="13">
        <v>2.67</v>
      </c>
      <c r="K551" s="14"/>
      <c r="L551" s="13"/>
      <c r="M551" s="13"/>
      <c r="N551" s="13">
        <f>36.14*(137.327/(137.327+96.06))</f>
      </c>
      <c r="O551" s="16"/>
      <c r="P551" s="13"/>
      <c r="Q551" s="13"/>
      <c r="R551" s="17"/>
      <c r="S551" s="13"/>
      <c r="T551" s="17"/>
      <c r="U551" s="13"/>
      <c r="V551" s="16"/>
      <c r="W551" s="13"/>
      <c r="X551" s="13"/>
      <c r="Y551" s="14"/>
      <c r="Z551" s="2"/>
      <c r="AA551" s="13">
        <f>H551*I551/100</f>
      </c>
      <c r="AB551" s="13">
        <f>H551*J551/100</f>
      </c>
      <c r="AC551" s="15">
        <f>H551*K551</f>
      </c>
      <c r="AD551" s="15">
        <f>H551*M551</f>
      </c>
      <c r="AE551" s="13">
        <f>H551*L551/100</f>
      </c>
      <c r="AF551" s="13">
        <f>AA551+AB551+AE551</f>
      </c>
      <c r="AG551" s="13">
        <f>I551+J551+L551</f>
      </c>
      <c r="AH551" s="18">
        <f>$H551*I551</f>
      </c>
      <c r="AI551" s="18">
        <f>$H551*J551</f>
      </c>
      <c r="AJ551" s="18">
        <f>$H551*K551</f>
      </c>
      <c r="AK551" s="18">
        <f>$H551*L551</f>
      </c>
      <c r="AL551" s="18">
        <f>$H551*M551</f>
      </c>
      <c r="AM551" s="14"/>
      <c r="AN551" s="14"/>
      <c r="AO551" s="14"/>
    </row>
    <row x14ac:dyDescent="0.25" r="552" customHeight="1" ht="17.25">
      <c r="A552" s="2" t="s">
        <v>1112</v>
      </c>
      <c r="B552" s="2" t="s">
        <v>1106</v>
      </c>
      <c r="C552" s="2" t="s">
        <v>40</v>
      </c>
      <c r="D552" s="2" t="s">
        <v>41</v>
      </c>
      <c r="E552" s="12" t="s">
        <v>42</v>
      </c>
      <c r="F552" s="2" t="s">
        <v>43</v>
      </c>
      <c r="G552" s="2" t="s">
        <v>1109</v>
      </c>
      <c r="H552" s="13">
        <v>3.7</v>
      </c>
      <c r="I552" s="13">
        <v>1.1</v>
      </c>
      <c r="J552" s="13">
        <v>8.8</v>
      </c>
      <c r="K552" s="14">
        <v>10</v>
      </c>
      <c r="L552" s="13"/>
      <c r="M552" s="13"/>
      <c r="N552" s="15"/>
      <c r="O552" s="16"/>
      <c r="P552" s="13"/>
      <c r="Q552" s="13"/>
      <c r="R552" s="17"/>
      <c r="S552" s="13"/>
      <c r="T552" s="17"/>
      <c r="U552" s="13"/>
      <c r="V552" s="16"/>
      <c r="W552" s="13"/>
      <c r="X552" s="13"/>
      <c r="Y552" s="14"/>
      <c r="Z552" s="2"/>
      <c r="AA552" s="13">
        <f>H552*I552/100</f>
      </c>
      <c r="AB552" s="13">
        <f>H552*J552/100</f>
      </c>
      <c r="AC552" s="15">
        <f>H552*K552</f>
      </c>
      <c r="AD552" s="15">
        <f>H552*M552</f>
      </c>
      <c r="AE552" s="13">
        <f>H552*L552/100</f>
      </c>
      <c r="AF552" s="13">
        <f>AA552+AB552+AE552</f>
      </c>
      <c r="AG552" s="13">
        <f>I552+J552+L552</f>
      </c>
      <c r="AH552" s="18">
        <f>$H552*I552</f>
      </c>
      <c r="AI552" s="18">
        <f>$H552*J552</f>
      </c>
      <c r="AJ552" s="18">
        <f>$H552*K552</f>
      </c>
      <c r="AK552" s="18">
        <f>$H552*L552</f>
      </c>
      <c r="AL552" s="18">
        <f>$H552*M552</f>
      </c>
      <c r="AM552" s="14"/>
      <c r="AN552" s="14"/>
      <c r="AO552" s="14"/>
    </row>
    <row x14ac:dyDescent="0.25" r="553" customHeight="1" ht="17.25">
      <c r="A553" s="2" t="s">
        <v>1113</v>
      </c>
      <c r="B553" s="2" t="s">
        <v>1106</v>
      </c>
      <c r="C553" s="2" t="s">
        <v>40</v>
      </c>
      <c r="D553" s="2" t="s">
        <v>41</v>
      </c>
      <c r="E553" s="12" t="s">
        <v>42</v>
      </c>
      <c r="F553" s="2" t="s">
        <v>43</v>
      </c>
      <c r="G553" s="2" t="s">
        <v>1109</v>
      </c>
      <c r="H553" s="13">
        <v>1.85</v>
      </c>
      <c r="I553" s="13">
        <v>1.04</v>
      </c>
      <c r="J553" s="13">
        <v>7.71</v>
      </c>
      <c r="K553" s="13">
        <v>39.6</v>
      </c>
      <c r="L553" s="13"/>
      <c r="M553" s="13"/>
      <c r="N553" s="15"/>
      <c r="O553" s="16"/>
      <c r="P553" s="13"/>
      <c r="Q553" s="13"/>
      <c r="R553" s="17"/>
      <c r="S553" s="13"/>
      <c r="T553" s="17"/>
      <c r="U553" s="13"/>
      <c r="V553" s="16"/>
      <c r="W553" s="13"/>
      <c r="X553" s="13"/>
      <c r="Y553" s="13">
        <v>0.12</v>
      </c>
      <c r="Z553" s="2" t="s">
        <v>418</v>
      </c>
      <c r="AA553" s="13">
        <f>H553*I553/100</f>
      </c>
      <c r="AB553" s="13">
        <f>H553*J553/100</f>
      </c>
      <c r="AC553" s="15">
        <f>H553*K553</f>
      </c>
      <c r="AD553" s="15">
        <f>H553*M553</f>
      </c>
      <c r="AE553" s="13">
        <f>H553*L553/100</f>
      </c>
      <c r="AF553" s="13">
        <f>AA553+AB553+AE553</f>
      </c>
      <c r="AG553" s="13">
        <f>I553+J553+L553</f>
      </c>
      <c r="AH553" s="18">
        <f>$H553*I553</f>
      </c>
      <c r="AI553" s="18">
        <f>$H553*J553</f>
      </c>
      <c r="AJ553" s="18">
        <f>$H553*K553</f>
      </c>
      <c r="AK553" s="18">
        <f>$H553*L553</f>
      </c>
      <c r="AL553" s="18">
        <f>$H553*M553</f>
      </c>
      <c r="AM553" s="14"/>
      <c r="AN553" s="14"/>
      <c r="AO553" s="14"/>
    </row>
    <row x14ac:dyDescent="0.25" r="554" customHeight="1" ht="17.25">
      <c r="A554" s="2" t="s">
        <v>1114</v>
      </c>
      <c r="B554" s="2" t="s">
        <v>1106</v>
      </c>
      <c r="C554" s="2" t="s">
        <v>40</v>
      </c>
      <c r="D554" s="2" t="s">
        <v>41</v>
      </c>
      <c r="E554" s="2" t="s">
        <v>52</v>
      </c>
      <c r="F554" s="2" t="s">
        <v>1115</v>
      </c>
      <c r="G554" s="2" t="s">
        <v>1016</v>
      </c>
      <c r="H554" s="13">
        <f>1.9+0.2+1.7</f>
      </c>
      <c r="I554" s="13">
        <f>(2.42*1.9+2.22*0.2+1.72*1.7)/$H554</f>
      </c>
      <c r="J554" s="13">
        <f>(14.23*1.9+14.45*0.2+10.46*1.7)/$H554</f>
      </c>
      <c r="K554" s="14"/>
      <c r="L554" s="13"/>
      <c r="M554" s="13"/>
      <c r="N554" s="15"/>
      <c r="O554" s="16"/>
      <c r="P554" s="13"/>
      <c r="Q554" s="13"/>
      <c r="R554" s="17"/>
      <c r="S554" s="13"/>
      <c r="T554" s="17"/>
      <c r="U554" s="13"/>
      <c r="V554" s="16"/>
      <c r="W554" s="13"/>
      <c r="X554" s="13"/>
      <c r="Y554" s="14"/>
      <c r="Z554" s="2"/>
      <c r="AA554" s="13">
        <f>H554*I554/100</f>
      </c>
      <c r="AB554" s="13">
        <f>H554*J554/100</f>
      </c>
      <c r="AC554" s="15">
        <f>H554*K554</f>
      </c>
      <c r="AD554" s="15">
        <f>H554*M554</f>
      </c>
      <c r="AE554" s="13">
        <f>H554*L554/100</f>
      </c>
      <c r="AF554" s="13">
        <f>AA554+AB554+AE554</f>
      </c>
      <c r="AG554" s="13">
        <f>I554+J554+L554</f>
      </c>
      <c r="AH554" s="18">
        <f>$H554*I554</f>
      </c>
      <c r="AI554" s="18">
        <f>$H554*J554</f>
      </c>
      <c r="AJ554" s="18">
        <f>$H554*K554</f>
      </c>
      <c r="AK554" s="18">
        <f>$H554*L554</f>
      </c>
      <c r="AL554" s="18">
        <f>$H554*M554</f>
      </c>
      <c r="AM554" s="14"/>
      <c r="AN554" s="14"/>
      <c r="AO554" s="14"/>
    </row>
    <row x14ac:dyDescent="0.25" r="555" customHeight="1" ht="17.25">
      <c r="A555" s="2" t="s">
        <v>1116</v>
      </c>
      <c r="B555" s="2" t="s">
        <v>1106</v>
      </c>
      <c r="C555" s="2" t="s">
        <v>40</v>
      </c>
      <c r="D555" s="2" t="s">
        <v>41</v>
      </c>
      <c r="E555" s="12" t="s">
        <v>42</v>
      </c>
      <c r="F555" s="2" t="s">
        <v>43</v>
      </c>
      <c r="G555" s="2" t="s">
        <v>1109</v>
      </c>
      <c r="H555" s="13">
        <v>0.125</v>
      </c>
      <c r="I555" s="15">
        <f>8/3</f>
      </c>
      <c r="J555" s="15">
        <f>8*(2/3)</f>
      </c>
      <c r="K555" s="14"/>
      <c r="L555" s="13"/>
      <c r="M555" s="13"/>
      <c r="N555" s="15"/>
      <c r="O555" s="16"/>
      <c r="P555" s="13"/>
      <c r="Q555" s="13"/>
      <c r="R555" s="17"/>
      <c r="S555" s="13"/>
      <c r="T555" s="17"/>
      <c r="U555" s="13"/>
      <c r="V555" s="16"/>
      <c r="W555" s="13"/>
      <c r="X555" s="13"/>
      <c r="Y555" s="14"/>
      <c r="Z555" s="2"/>
      <c r="AA555" s="13">
        <f>H555*I555/100</f>
      </c>
      <c r="AB555" s="13">
        <f>H555*J555/100</f>
      </c>
      <c r="AC555" s="15">
        <f>H555*K555</f>
      </c>
      <c r="AD555" s="15">
        <f>H555*M555</f>
      </c>
      <c r="AE555" s="13">
        <f>H555*L555/100</f>
      </c>
      <c r="AF555" s="13">
        <f>AA555+AB555+AE555</f>
      </c>
      <c r="AG555" s="13">
        <f>I555+J555+L555</f>
      </c>
      <c r="AH555" s="18">
        <f>$H555*I555</f>
      </c>
      <c r="AI555" s="18">
        <f>$H555*J555</f>
      </c>
      <c r="AJ555" s="18">
        <f>$H555*K555</f>
      </c>
      <c r="AK555" s="18">
        <f>$H555*L555</f>
      </c>
      <c r="AL555" s="18">
        <f>$H555*M555</f>
      </c>
      <c r="AM555" s="14"/>
      <c r="AN555" s="14"/>
      <c r="AO555" s="14"/>
    </row>
    <row x14ac:dyDescent="0.25" r="556" customHeight="1" ht="17.25">
      <c r="A556" s="2" t="s">
        <v>1117</v>
      </c>
      <c r="B556" s="2" t="s">
        <v>1106</v>
      </c>
      <c r="C556" s="2" t="s">
        <v>40</v>
      </c>
      <c r="D556" s="2" t="s">
        <v>41</v>
      </c>
      <c r="E556" s="12" t="s">
        <v>42</v>
      </c>
      <c r="F556" s="2" t="s">
        <v>43</v>
      </c>
      <c r="G556" s="2" t="s">
        <v>1107</v>
      </c>
      <c r="H556" s="15">
        <v>3</v>
      </c>
      <c r="I556" s="13">
        <v>0.6</v>
      </c>
      <c r="J556" s="13">
        <v>4.3</v>
      </c>
      <c r="K556" s="14">
        <v>11</v>
      </c>
      <c r="L556" s="13"/>
      <c r="M556" s="13"/>
      <c r="N556" s="15"/>
      <c r="O556" s="16"/>
      <c r="P556" s="13"/>
      <c r="Q556" s="13"/>
      <c r="R556" s="17"/>
      <c r="S556" s="13"/>
      <c r="T556" s="17"/>
      <c r="U556" s="13"/>
      <c r="V556" s="16"/>
      <c r="W556" s="13"/>
      <c r="X556" s="13"/>
      <c r="Y556" s="14"/>
      <c r="Z556" s="2"/>
      <c r="AA556" s="13">
        <f>H556*I556/100</f>
      </c>
      <c r="AB556" s="13">
        <f>H556*J556/100</f>
      </c>
      <c r="AC556" s="15">
        <f>H556*K556</f>
      </c>
      <c r="AD556" s="15">
        <f>H556*M556</f>
      </c>
      <c r="AE556" s="13">
        <f>H556*L556/100</f>
      </c>
      <c r="AF556" s="13">
        <f>AA556+AB556+AE556</f>
      </c>
      <c r="AG556" s="13">
        <f>I556+J556+L556</f>
      </c>
      <c r="AH556" s="18">
        <f>$H556*I556</f>
      </c>
      <c r="AI556" s="18">
        <f>$H556*J556</f>
      </c>
      <c r="AJ556" s="18">
        <f>$H556*K556</f>
      </c>
      <c r="AK556" s="18">
        <f>$H556*L556</f>
      </c>
      <c r="AL556" s="18">
        <f>$H556*M556</f>
      </c>
      <c r="AM556" s="14"/>
      <c r="AN556" s="14"/>
      <c r="AO556" s="14"/>
    </row>
    <row x14ac:dyDescent="0.25" r="557" customHeight="1" ht="17.25">
      <c r="A557" s="2" t="s">
        <v>1118</v>
      </c>
      <c r="B557" s="2" t="s">
        <v>1106</v>
      </c>
      <c r="C557" s="2" t="s">
        <v>40</v>
      </c>
      <c r="D557" s="2" t="s">
        <v>41</v>
      </c>
      <c r="E557" s="2" t="s">
        <v>52</v>
      </c>
      <c r="F557" s="2" t="s">
        <v>65</v>
      </c>
      <c r="G557" s="2" t="s">
        <v>66</v>
      </c>
      <c r="H557" s="14">
        <v>42</v>
      </c>
      <c r="I557" s="14">
        <v>1</v>
      </c>
      <c r="J557" s="14">
        <v>7</v>
      </c>
      <c r="K557" s="14"/>
      <c r="L557" s="13"/>
      <c r="M557" s="13"/>
      <c r="N557" s="15"/>
      <c r="O557" s="16"/>
      <c r="P557" s="13"/>
      <c r="Q557" s="13"/>
      <c r="R557" s="17"/>
      <c r="S557" s="13"/>
      <c r="T557" s="17"/>
      <c r="U557" s="13"/>
      <c r="V557" s="16"/>
      <c r="W557" s="13"/>
      <c r="X557" s="13"/>
      <c r="Y557" s="14"/>
      <c r="Z557" s="2"/>
      <c r="AA557" s="13">
        <f>H557*I557/100</f>
      </c>
      <c r="AB557" s="13">
        <f>H557*J557/100</f>
      </c>
      <c r="AC557" s="15">
        <f>H557*K557</f>
      </c>
      <c r="AD557" s="15">
        <f>H557*M557</f>
      </c>
      <c r="AE557" s="13">
        <f>H557*L557/100</f>
      </c>
      <c r="AF557" s="13">
        <f>AA557+AB557+AE557</f>
      </c>
      <c r="AG557" s="13">
        <f>I557+J557+L557</f>
      </c>
      <c r="AH557" s="18">
        <f>$H557*I557</f>
      </c>
      <c r="AI557" s="18">
        <f>$H557*J557</f>
      </c>
      <c r="AJ557" s="18">
        <f>$H557*K557</f>
      </c>
      <c r="AK557" s="18">
        <f>$H557*L557</f>
      </c>
      <c r="AL557" s="18">
        <f>$H557*M557</f>
      </c>
      <c r="AM557" s="14"/>
      <c r="AN557" s="14"/>
      <c r="AO557" s="14"/>
    </row>
    <row x14ac:dyDescent="0.25" r="558" customHeight="1" ht="17.25">
      <c r="A558" s="2" t="s">
        <v>1119</v>
      </c>
      <c r="B558" s="2" t="s">
        <v>1106</v>
      </c>
      <c r="C558" s="2" t="s">
        <v>40</v>
      </c>
      <c r="D558" s="2" t="s">
        <v>41</v>
      </c>
      <c r="E558" s="12" t="s">
        <v>42</v>
      </c>
      <c r="F558" s="2" t="s">
        <v>43</v>
      </c>
      <c r="G558" s="2" t="s">
        <v>1109</v>
      </c>
      <c r="H558" s="13">
        <v>3.5</v>
      </c>
      <c r="I558" s="13">
        <v>1.1</v>
      </c>
      <c r="J558" s="13">
        <v>2.2</v>
      </c>
      <c r="K558" s="14"/>
      <c r="L558" s="13"/>
      <c r="M558" s="13"/>
      <c r="N558" s="15"/>
      <c r="O558" s="16"/>
      <c r="P558" s="13"/>
      <c r="Q558" s="13"/>
      <c r="R558" s="17"/>
      <c r="S558" s="13"/>
      <c r="T558" s="17"/>
      <c r="U558" s="13"/>
      <c r="V558" s="16"/>
      <c r="W558" s="13"/>
      <c r="X558" s="13"/>
      <c r="Y558" s="14"/>
      <c r="Z558" s="2"/>
      <c r="AA558" s="13">
        <f>H558*I558/100</f>
      </c>
      <c r="AB558" s="13">
        <f>H558*J558/100</f>
      </c>
      <c r="AC558" s="15">
        <f>H558*K558</f>
      </c>
      <c r="AD558" s="15">
        <f>H558*M558</f>
      </c>
      <c r="AE558" s="13">
        <f>H558*L558/100</f>
      </c>
      <c r="AF558" s="13">
        <f>AA558+AB558+AE558</f>
      </c>
      <c r="AG558" s="13">
        <f>I558+J558+L558</f>
      </c>
      <c r="AH558" s="18">
        <f>$H558*I558</f>
      </c>
      <c r="AI558" s="18">
        <f>$H558*J558</f>
      </c>
      <c r="AJ558" s="18">
        <f>$H558*K558</f>
      </c>
      <c r="AK558" s="18">
        <f>$H558*L558</f>
      </c>
      <c r="AL558" s="18">
        <f>$H558*M558</f>
      </c>
      <c r="AM558" s="14"/>
      <c r="AN558" s="14"/>
      <c r="AO558" s="14"/>
    </row>
    <row x14ac:dyDescent="0.25" r="559" customHeight="1" ht="17.25">
      <c r="A559" s="2" t="s">
        <v>1120</v>
      </c>
      <c r="B559" s="2" t="s">
        <v>1106</v>
      </c>
      <c r="C559" s="2" t="s">
        <v>40</v>
      </c>
      <c r="D559" s="2" t="s">
        <v>41</v>
      </c>
      <c r="E559" s="12" t="s">
        <v>42</v>
      </c>
      <c r="F559" s="2" t="s">
        <v>43</v>
      </c>
      <c r="G559" s="2" t="s">
        <v>1109</v>
      </c>
      <c r="H559" s="13">
        <v>6.89</v>
      </c>
      <c r="I559" s="15">
        <f>11.5/3</f>
      </c>
      <c r="J559" s="15">
        <f>11.5*(2/3)</f>
      </c>
      <c r="K559" s="14">
        <v>70</v>
      </c>
      <c r="L559" s="13">
        <v>0.6</v>
      </c>
      <c r="M559" s="13"/>
      <c r="N559" s="15"/>
      <c r="O559" s="16"/>
      <c r="P559" s="13"/>
      <c r="Q559" s="13"/>
      <c r="R559" s="17"/>
      <c r="S559" s="13"/>
      <c r="T559" s="17"/>
      <c r="U559" s="13"/>
      <c r="V559" s="16"/>
      <c r="W559" s="13"/>
      <c r="X559" s="13"/>
      <c r="Y559" s="14"/>
      <c r="Z559" s="2"/>
      <c r="AA559" s="13">
        <f>H559*I559/100</f>
      </c>
      <c r="AB559" s="13">
        <f>H559*J559/100</f>
      </c>
      <c r="AC559" s="15">
        <f>H559*K559</f>
      </c>
      <c r="AD559" s="15">
        <f>H559*M559</f>
      </c>
      <c r="AE559" s="13">
        <f>H559*L559/100</f>
      </c>
      <c r="AF559" s="13">
        <f>AA559+AB559+AE559</f>
      </c>
      <c r="AG559" s="13">
        <f>I559+J559+L559</f>
      </c>
      <c r="AH559" s="18">
        <f>$H559*I559</f>
      </c>
      <c r="AI559" s="18">
        <f>$H559*J559</f>
      </c>
      <c r="AJ559" s="18">
        <f>$H559*K559</f>
      </c>
      <c r="AK559" s="18">
        <f>$H559*L559</f>
      </c>
      <c r="AL559" s="18">
        <f>$H559*M559</f>
      </c>
      <c r="AM559" s="14"/>
      <c r="AN559" s="14"/>
      <c r="AO559" s="14"/>
    </row>
    <row x14ac:dyDescent="0.25" r="560" customHeight="1" ht="17.25">
      <c r="A560" s="2" t="s">
        <v>1121</v>
      </c>
      <c r="B560" s="2" t="s">
        <v>1106</v>
      </c>
      <c r="C560" s="2" t="s">
        <v>40</v>
      </c>
      <c r="D560" s="2" t="s">
        <v>41</v>
      </c>
      <c r="E560" s="2" t="s">
        <v>52</v>
      </c>
      <c r="F560" s="2" t="s">
        <v>1122</v>
      </c>
      <c r="G560" s="2" t="s">
        <v>108</v>
      </c>
      <c r="H560" s="13">
        <f>3.4+9.7+0.6+7.3+5.4</f>
      </c>
      <c r="I560" s="15">
        <f>(1.7*3.4+1.5*9.7+2.2*0.6+2*7.3+1.9*5.4)/$H560</f>
      </c>
      <c r="J560" s="15">
        <f>(7.3*3.4+6.9*9.7+6.3*0.6+6.5*7.3+6.6*5.4)/$H560</f>
      </c>
      <c r="K560" s="14"/>
      <c r="L560" s="13"/>
      <c r="M560" s="13"/>
      <c r="N560" s="15"/>
      <c r="O560" s="16"/>
      <c r="P560" s="13"/>
      <c r="Q560" s="13"/>
      <c r="R560" s="17"/>
      <c r="S560" s="13"/>
      <c r="T560" s="17"/>
      <c r="U560" s="13"/>
      <c r="V560" s="16"/>
      <c r="W560" s="13"/>
      <c r="X560" s="13"/>
      <c r="Y560" s="14"/>
      <c r="Z560" s="2"/>
      <c r="AA560" s="13">
        <f>H560*I560/100</f>
      </c>
      <c r="AB560" s="13">
        <f>H560*J560/100</f>
      </c>
      <c r="AC560" s="15">
        <f>H560*K560</f>
      </c>
      <c r="AD560" s="15">
        <f>H560*M560</f>
      </c>
      <c r="AE560" s="13">
        <f>H560*L560/100</f>
      </c>
      <c r="AF560" s="13">
        <f>AA560+AB560+AE560</f>
      </c>
      <c r="AG560" s="13">
        <f>I560+J560+L560</f>
      </c>
      <c r="AH560" s="18">
        <f>$H560*I560</f>
      </c>
      <c r="AI560" s="18">
        <f>$H560*J560</f>
      </c>
      <c r="AJ560" s="18">
        <f>$H560*K560</f>
      </c>
      <c r="AK560" s="18">
        <f>$H560*L560</f>
      </c>
      <c r="AL560" s="18">
        <f>$H560*M560</f>
      </c>
      <c r="AM560" s="14"/>
      <c r="AN560" s="14"/>
      <c r="AO560" s="14"/>
    </row>
    <row x14ac:dyDescent="0.25" r="561" customHeight="1" ht="17.25">
      <c r="A561" s="2" t="s">
        <v>1123</v>
      </c>
      <c r="B561" s="2" t="s">
        <v>1106</v>
      </c>
      <c r="C561" s="2" t="s">
        <v>40</v>
      </c>
      <c r="D561" s="2" t="s">
        <v>41</v>
      </c>
      <c r="E561" s="12" t="s">
        <v>42</v>
      </c>
      <c r="F561" s="2" t="s">
        <v>43</v>
      </c>
      <c r="G561" s="2" t="s">
        <v>1109</v>
      </c>
      <c r="H561" s="13">
        <v>3.6</v>
      </c>
      <c r="I561" s="15">
        <f>6.9/3</f>
      </c>
      <c r="J561" s="15">
        <f>6.9*(2/3)</f>
      </c>
      <c r="K561" s="14"/>
      <c r="L561" s="13"/>
      <c r="M561" s="13"/>
      <c r="N561" s="15"/>
      <c r="O561" s="16"/>
      <c r="P561" s="13"/>
      <c r="Q561" s="13"/>
      <c r="R561" s="17"/>
      <c r="S561" s="13"/>
      <c r="T561" s="17"/>
      <c r="U561" s="13"/>
      <c r="V561" s="16"/>
      <c r="W561" s="13"/>
      <c r="X561" s="13"/>
      <c r="Y561" s="14"/>
      <c r="Z561" s="2"/>
      <c r="AA561" s="13">
        <f>H561*I561/100</f>
      </c>
      <c r="AB561" s="13">
        <f>H561*J561/100</f>
      </c>
      <c r="AC561" s="15">
        <f>H561*K561</f>
      </c>
      <c r="AD561" s="15">
        <f>H561*M561</f>
      </c>
      <c r="AE561" s="13">
        <f>H561*L561/100</f>
      </c>
      <c r="AF561" s="13">
        <f>AA561+AB561+AE561</f>
      </c>
      <c r="AG561" s="13">
        <f>I561+J561+L561</f>
      </c>
      <c r="AH561" s="18">
        <f>$H561*I561</f>
      </c>
      <c r="AI561" s="18">
        <f>$H561*J561</f>
      </c>
      <c r="AJ561" s="18">
        <f>$H561*K561</f>
      </c>
      <c r="AK561" s="18">
        <f>$H561*L561</f>
      </c>
      <c r="AL561" s="18">
        <f>$H561*M561</f>
      </c>
      <c r="AM561" s="14"/>
      <c r="AN561" s="14"/>
      <c r="AO561" s="14"/>
    </row>
    <row x14ac:dyDescent="0.25" r="562" customHeight="1" ht="17.25">
      <c r="A562" s="2" t="s">
        <v>1124</v>
      </c>
      <c r="B562" s="2" t="s">
        <v>1125</v>
      </c>
      <c r="C562" s="2" t="s">
        <v>620</v>
      </c>
      <c r="D562" s="2"/>
      <c r="E562" s="12" t="s">
        <v>42</v>
      </c>
      <c r="F562" s="2" t="s">
        <v>1126</v>
      </c>
      <c r="G562" s="2" t="s">
        <v>877</v>
      </c>
      <c r="H562" s="14">
        <v>50</v>
      </c>
      <c r="I562" s="14">
        <v>5</v>
      </c>
      <c r="J562" s="13"/>
      <c r="K562" s="14">
        <v>40</v>
      </c>
      <c r="L562" s="13"/>
      <c r="M562" s="13"/>
      <c r="N562" s="15"/>
      <c r="O562" s="16"/>
      <c r="P562" s="13"/>
      <c r="Q562" s="13"/>
      <c r="R562" s="17"/>
      <c r="S562" s="13"/>
      <c r="T562" s="17"/>
      <c r="U562" s="13"/>
      <c r="V562" s="16"/>
      <c r="W562" s="13"/>
      <c r="X562" s="13"/>
      <c r="Y562" s="14"/>
      <c r="Z562" s="2"/>
      <c r="AA562" s="13">
        <f>H562*I562/100</f>
      </c>
      <c r="AB562" s="13">
        <f>H562*J562/100</f>
      </c>
      <c r="AC562" s="15">
        <f>H562*K562</f>
      </c>
      <c r="AD562" s="15">
        <f>H562*M562</f>
      </c>
      <c r="AE562" s="13">
        <f>H562*L562/100</f>
      </c>
      <c r="AF562" s="13">
        <f>AA562+AB562+AE562</f>
      </c>
      <c r="AG562" s="13">
        <f>I562+J562+L562</f>
      </c>
      <c r="AH562" s="18">
        <f>$H562*I562</f>
      </c>
      <c r="AI562" s="18">
        <f>$H562*J562</f>
      </c>
      <c r="AJ562" s="18">
        <f>$H562*K562</f>
      </c>
      <c r="AK562" s="18">
        <f>$H562*L562</f>
      </c>
      <c r="AL562" s="18">
        <f>$H562*M562</f>
      </c>
      <c r="AM562" s="14"/>
      <c r="AN562" s="14"/>
      <c r="AO562" s="14"/>
    </row>
    <row x14ac:dyDescent="0.25" r="563" customHeight="1" ht="17.25">
      <c r="A563" s="2" t="s">
        <v>1127</v>
      </c>
      <c r="B563" s="2" t="s">
        <v>1125</v>
      </c>
      <c r="C563" s="2" t="s">
        <v>1128</v>
      </c>
      <c r="D563" s="2"/>
      <c r="E563" s="2" t="s">
        <v>52</v>
      </c>
      <c r="F563" s="2" t="s">
        <v>1129</v>
      </c>
      <c r="G563" s="2" t="s">
        <v>108</v>
      </c>
      <c r="H563" s="15">
        <f>4566.354+830.412</f>
      </c>
      <c r="I563" s="13"/>
      <c r="J563" s="13">
        <f>(0.01*4566.354+0*830.412)/$H563</f>
      </c>
      <c r="K563" s="13">
        <f>(1.43*4566.354+1.2*830.412)/$H563</f>
      </c>
      <c r="L563" s="13">
        <f>(0.42*4566.354+0.3*830.412)/$H563</f>
      </c>
      <c r="M563" s="13">
        <f>(0.08*4566.354+0.09*830.412)/$H563</f>
      </c>
      <c r="N563" s="15"/>
      <c r="O563" s="16"/>
      <c r="P563" s="13"/>
      <c r="Q563" s="13"/>
      <c r="R563" s="17"/>
      <c r="S563" s="13">
        <f>(0.01*4566.354+0.01*830.412)/$H563</f>
      </c>
      <c r="T563" s="17"/>
      <c r="U563" s="13"/>
      <c r="V563" s="16"/>
      <c r="W563" s="13"/>
      <c r="X563" s="13"/>
      <c r="Y563" s="14"/>
      <c r="Z563" s="2"/>
      <c r="AA563" s="13">
        <f>H563*I563/100</f>
      </c>
      <c r="AB563" s="13">
        <f>H563*J563/100</f>
      </c>
      <c r="AC563" s="15">
        <f>H563*K563</f>
      </c>
      <c r="AD563" s="15">
        <f>H563*M563</f>
      </c>
      <c r="AE563" s="13">
        <f>H563*L563/100</f>
      </c>
      <c r="AF563" s="13">
        <f>AA563+AB563+AE563</f>
      </c>
      <c r="AG563" s="13">
        <f>I563+J563+L563</f>
      </c>
      <c r="AH563" s="18">
        <f>$H563*I563</f>
      </c>
      <c r="AI563" s="18">
        <f>$H563*J563</f>
      </c>
      <c r="AJ563" s="18">
        <f>$H563*K563</f>
      </c>
      <c r="AK563" s="18">
        <f>$H563*L563</f>
      </c>
      <c r="AL563" s="18">
        <f>$H563*M563</f>
      </c>
      <c r="AM563" s="14"/>
      <c r="AN563" s="14"/>
      <c r="AO563" s="14"/>
    </row>
    <row x14ac:dyDescent="0.25" r="564" customHeight="1" ht="17.25">
      <c r="A564" s="2" t="s">
        <v>1130</v>
      </c>
      <c r="B564" s="2" t="s">
        <v>1125</v>
      </c>
      <c r="C564" s="21" t="s">
        <v>1131</v>
      </c>
      <c r="D564" s="2"/>
      <c r="E564" s="21" t="s">
        <v>198</v>
      </c>
      <c r="F564" s="2" t="s">
        <v>1132</v>
      </c>
      <c r="G564" s="2" t="s">
        <v>66</v>
      </c>
      <c r="H564" s="14">
        <f>58+30</f>
      </c>
      <c r="I564" s="15">
        <f>(0.2*58+0.2*30)/$H564</f>
      </c>
      <c r="J564" s="13">
        <f>(0.4*58+0.5*30)/$H564</f>
      </c>
      <c r="K564" s="15">
        <f>(5.2*58+5*30)/$H564</f>
      </c>
      <c r="L564" s="13">
        <f>(0.05*58+0.06*30)/$H564</f>
      </c>
      <c r="M564" s="15">
        <f>(0.7*58+0.5*30)/$H564</f>
      </c>
      <c r="N564" s="15"/>
      <c r="O564" s="16"/>
      <c r="P564" s="13"/>
      <c r="Q564" s="13"/>
      <c r="R564" s="17"/>
      <c r="S564" s="13"/>
      <c r="T564" s="17"/>
      <c r="U564" s="13"/>
      <c r="V564" s="16"/>
      <c r="W564" s="13"/>
      <c r="X564" s="13"/>
      <c r="Y564" s="14"/>
      <c r="Z564" s="2"/>
      <c r="AA564" s="13">
        <f>H564*I564/100</f>
      </c>
      <c r="AB564" s="13">
        <f>H564*J564/100</f>
      </c>
      <c r="AC564" s="15">
        <f>H564*K564</f>
      </c>
      <c r="AD564" s="15">
        <f>H564*M564</f>
      </c>
      <c r="AE564" s="13">
        <f>H564*L564/100</f>
      </c>
      <c r="AF564" s="13">
        <f>AA564+AB564+AE564</f>
      </c>
      <c r="AG564" s="13">
        <f>I564+J564+L564</f>
      </c>
      <c r="AH564" s="18">
        <f>$H564*I564</f>
      </c>
      <c r="AI564" s="18">
        <f>$H564*J564</f>
      </c>
      <c r="AJ564" s="18">
        <f>$H564*K564</f>
      </c>
      <c r="AK564" s="18">
        <f>$H564*L564</f>
      </c>
      <c r="AL564" s="18">
        <f>$H564*M564</f>
      </c>
      <c r="AM564" s="14"/>
      <c r="AN564" s="14"/>
      <c r="AO564" s="14"/>
    </row>
    <row x14ac:dyDescent="0.25" r="565" customHeight="1" ht="17.25">
      <c r="A565" s="2" t="s">
        <v>1133</v>
      </c>
      <c r="B565" s="2" t="s">
        <v>1125</v>
      </c>
      <c r="C565" s="2" t="s">
        <v>620</v>
      </c>
      <c r="D565" s="2"/>
      <c r="E565" s="2" t="s">
        <v>52</v>
      </c>
      <c r="F565" s="2" t="s">
        <v>1132</v>
      </c>
      <c r="G565" s="2" t="s">
        <v>66</v>
      </c>
      <c r="H565" s="13">
        <f>0.71+1.1+1.2</f>
      </c>
      <c r="I565" s="13">
        <f>(2.06*0.71+1.4*1.1+1*1.2)/$H565</f>
      </c>
      <c r="J565" s="13">
        <f>(4.13*0.71+2.7*1.1+2*1.2)/$H565</f>
      </c>
      <c r="K565" s="17">
        <f>(164*0.71+130*1.1+80*1.2)/$H565</f>
      </c>
      <c r="L565" s="15">
        <f>(0.59*0.71+0.5*1.1+0.3*1.2)/$H565</f>
      </c>
      <c r="M565" s="15">
        <f>(11*0.71+8.1*1.1+6*1.2)/$H565</f>
      </c>
      <c r="N565" s="15"/>
      <c r="O565" s="16"/>
      <c r="P565" s="13"/>
      <c r="Q565" s="13"/>
      <c r="R565" s="17"/>
      <c r="S565" s="13"/>
      <c r="T565" s="17"/>
      <c r="U565" s="13"/>
      <c r="V565" s="16"/>
      <c r="W565" s="13"/>
      <c r="X565" s="13"/>
      <c r="Y565" s="14"/>
      <c r="Z565" s="2"/>
      <c r="AA565" s="13">
        <f>H565*I565/100</f>
      </c>
      <c r="AB565" s="13">
        <f>H565*J565/100</f>
      </c>
      <c r="AC565" s="15">
        <f>H565*K565</f>
      </c>
      <c r="AD565" s="15">
        <f>H565*M565</f>
      </c>
      <c r="AE565" s="13">
        <f>H565*L565/100</f>
      </c>
      <c r="AF565" s="13">
        <f>AA565+AB565+AE565</f>
      </c>
      <c r="AG565" s="13">
        <f>I565+J565+L565</f>
      </c>
      <c r="AH565" s="18">
        <f>$H565*I565</f>
      </c>
      <c r="AI565" s="18">
        <f>$H565*J565</f>
      </c>
      <c r="AJ565" s="18">
        <f>$H565*K565</f>
      </c>
      <c r="AK565" s="18">
        <f>$H565*L565</f>
      </c>
      <c r="AL565" s="18">
        <f>$H565*M565</f>
      </c>
      <c r="AM565" s="14"/>
      <c r="AN565" s="14"/>
      <c r="AO565" s="14"/>
    </row>
    <row x14ac:dyDescent="0.25" r="566" customHeight="1" ht="17.25">
      <c r="A566" s="2" t="s">
        <v>1134</v>
      </c>
      <c r="B566" s="2" t="s">
        <v>1125</v>
      </c>
      <c r="C566" s="2" t="s">
        <v>620</v>
      </c>
      <c r="D566" s="2"/>
      <c r="E566" s="2" t="s">
        <v>52</v>
      </c>
      <c r="F566" s="2" t="s">
        <v>1129</v>
      </c>
      <c r="G566" s="2" t="s">
        <v>108</v>
      </c>
      <c r="H566" s="13">
        <v>91.807</v>
      </c>
      <c r="I566" s="13">
        <v>0.87</v>
      </c>
      <c r="J566" s="13">
        <v>3.64</v>
      </c>
      <c r="K566" s="13">
        <v>55.49</v>
      </c>
      <c r="L566" s="13">
        <v>1.86</v>
      </c>
      <c r="M566" s="13">
        <v>0.87</v>
      </c>
      <c r="N566" s="15"/>
      <c r="O566" s="16"/>
      <c r="P566" s="13"/>
      <c r="Q566" s="13"/>
      <c r="R566" s="17"/>
      <c r="S566" s="13"/>
      <c r="T566" s="17"/>
      <c r="U566" s="13"/>
      <c r="V566" s="16"/>
      <c r="W566" s="13"/>
      <c r="X566" s="13"/>
      <c r="Y566" s="14"/>
      <c r="Z566" s="2"/>
      <c r="AA566" s="13">
        <f>H566*I566/100</f>
      </c>
      <c r="AB566" s="13">
        <f>H566*J566/100</f>
      </c>
      <c r="AC566" s="15">
        <f>H566*K566</f>
      </c>
      <c r="AD566" s="15">
        <f>H566*M566</f>
      </c>
      <c r="AE566" s="13">
        <f>H566*L566/100</f>
      </c>
      <c r="AF566" s="13">
        <f>AA566+AB566+AE566</f>
      </c>
      <c r="AG566" s="13">
        <f>I566+J566+L566</f>
      </c>
      <c r="AH566" s="18">
        <f>$H566*I566</f>
      </c>
      <c r="AI566" s="18">
        <f>$H566*J566</f>
      </c>
      <c r="AJ566" s="18">
        <f>$H566*K566</f>
      </c>
      <c r="AK566" s="18">
        <f>$H566*L566</f>
      </c>
      <c r="AL566" s="18">
        <f>$H566*M566</f>
      </c>
      <c r="AM566" s="14"/>
      <c r="AN566" s="14"/>
      <c r="AO566" s="14"/>
    </row>
    <row x14ac:dyDescent="0.25" r="567" customHeight="1" ht="17.25">
      <c r="A567" s="2" t="s">
        <v>1135</v>
      </c>
      <c r="B567" s="2" t="s">
        <v>1125</v>
      </c>
      <c r="C567" s="2" t="s">
        <v>50</v>
      </c>
      <c r="D567" s="2"/>
      <c r="E567" s="2" t="s">
        <v>52</v>
      </c>
      <c r="F567" s="2" t="s">
        <v>1132</v>
      </c>
      <c r="G567" s="2" t="s">
        <v>66</v>
      </c>
      <c r="H567" s="13">
        <f>10.4+5.8+6.4</f>
      </c>
      <c r="I567" s="13">
        <f>(1.08*10.4+1.2*5.8+2*6.4)/$H567</f>
      </c>
      <c r="J567" s="13">
        <f>(7.06*10.4+6.8*5.8+8*6.4)/$H567</f>
      </c>
      <c r="K567" s="15">
        <f>(79*10.4+71*5.8+60*6.4)/$H567</f>
      </c>
      <c r="L567" s="15">
        <f>(2.4*10.4+1.9*5.8+2*6.4)/$H567</f>
      </c>
      <c r="M567" s="15">
        <f>(0.62*10.4+0.6*5.8+0.4*6.4)/$H567</f>
      </c>
      <c r="N567" s="15"/>
      <c r="O567" s="16"/>
      <c r="P567" s="13"/>
      <c r="Q567" s="13"/>
      <c r="R567" s="17"/>
      <c r="S567" s="13"/>
      <c r="T567" s="17"/>
      <c r="U567" s="13"/>
      <c r="V567" s="16"/>
      <c r="W567" s="13"/>
      <c r="X567" s="13"/>
      <c r="Y567" s="14"/>
      <c r="Z567" s="2"/>
      <c r="AA567" s="13">
        <f>H567*I567/100</f>
      </c>
      <c r="AB567" s="13">
        <f>H567*J567/100</f>
      </c>
      <c r="AC567" s="15">
        <f>H567*K567</f>
      </c>
      <c r="AD567" s="15">
        <f>H567*M567</f>
      </c>
      <c r="AE567" s="13">
        <f>H567*L567/100</f>
      </c>
      <c r="AF567" s="13">
        <f>AA567+AB567+AE567</f>
      </c>
      <c r="AG567" s="13">
        <f>I567+J567+L567</f>
      </c>
      <c r="AH567" s="18">
        <f>$H567*I567</f>
      </c>
      <c r="AI567" s="18">
        <f>$H567*J567</f>
      </c>
      <c r="AJ567" s="18">
        <f>$H567*K567</f>
      </c>
      <c r="AK567" s="18">
        <f>$H567*L567</f>
      </c>
      <c r="AL567" s="18">
        <f>$H567*M567</f>
      </c>
      <c r="AM567" s="14"/>
      <c r="AN567" s="14"/>
      <c r="AO567" s="14"/>
    </row>
    <row x14ac:dyDescent="0.25" r="568" customHeight="1" ht="17.25">
      <c r="A568" s="2" t="s">
        <v>1136</v>
      </c>
      <c r="B568" s="2" t="s">
        <v>1125</v>
      </c>
      <c r="C568" s="2" t="s">
        <v>50</v>
      </c>
      <c r="D568" s="2"/>
      <c r="E568" s="2" t="s">
        <v>52</v>
      </c>
      <c r="F568" s="2" t="s">
        <v>1132</v>
      </c>
      <c r="G568" s="2" t="s">
        <v>66</v>
      </c>
      <c r="H568" s="14">
        <v>40</v>
      </c>
      <c r="I568" s="14">
        <v>1</v>
      </c>
      <c r="J568" s="14">
        <v>4</v>
      </c>
      <c r="K568" s="14">
        <v>33</v>
      </c>
      <c r="L568" s="13">
        <v>0.2</v>
      </c>
      <c r="M568" s="14">
        <v>2</v>
      </c>
      <c r="N568" s="15"/>
      <c r="O568" s="16"/>
      <c r="P568" s="13"/>
      <c r="Q568" s="13"/>
      <c r="R568" s="17"/>
      <c r="S568" s="13"/>
      <c r="T568" s="17"/>
      <c r="U568" s="13"/>
      <c r="V568" s="16"/>
      <c r="W568" s="13"/>
      <c r="X568" s="13"/>
      <c r="Y568" s="14"/>
      <c r="Z568" s="2"/>
      <c r="AA568" s="13">
        <f>H568*I568/100</f>
      </c>
      <c r="AB568" s="13">
        <f>H568*J568/100</f>
      </c>
      <c r="AC568" s="15">
        <f>H568*K568</f>
      </c>
      <c r="AD568" s="15">
        <f>H568*M568</f>
      </c>
      <c r="AE568" s="13">
        <f>H568*L568/100</f>
      </c>
      <c r="AF568" s="13">
        <f>AA568+AB568+AE568</f>
      </c>
      <c r="AG568" s="13">
        <f>I568+J568+L568</f>
      </c>
      <c r="AH568" s="18">
        <f>$H568*I568</f>
      </c>
      <c r="AI568" s="18">
        <f>$H568*J568</f>
      </c>
      <c r="AJ568" s="18">
        <f>$H568*K568</f>
      </c>
      <c r="AK568" s="18">
        <f>$H568*L568</f>
      </c>
      <c r="AL568" s="18">
        <f>$H568*M568</f>
      </c>
      <c r="AM568" s="14"/>
      <c r="AN568" s="14"/>
      <c r="AO568" s="14"/>
    </row>
    <row x14ac:dyDescent="0.25" r="569" customHeight="1" ht="17.25">
      <c r="A569" s="2" t="s">
        <v>1137</v>
      </c>
      <c r="B569" s="2" t="s">
        <v>1125</v>
      </c>
      <c r="C569" s="2" t="s">
        <v>620</v>
      </c>
      <c r="D569" s="2"/>
      <c r="E569" s="2" t="s">
        <v>52</v>
      </c>
      <c r="F569" s="2" t="s">
        <v>1132</v>
      </c>
      <c r="G569" s="2" t="s">
        <v>66</v>
      </c>
      <c r="H569" s="13">
        <f>2.66+1.4+1.1</f>
      </c>
      <c r="I569" s="13">
        <f>(4.87*2.66+2.3*1.4+1*1.1)/$H569</f>
      </c>
      <c r="J569" s="13">
        <f>(11.1*2.66+7.1*1.4+4*1.1)/$H569</f>
      </c>
      <c r="K569" s="15">
        <f>(81.2*2.66+43*1.4+100*1.1)/$H569</f>
      </c>
      <c r="L569" s="13">
        <f>(1.16*2.66+1.2*1.4+0.9*1.1)/$H569</f>
      </c>
      <c r="M569" s="15">
        <f>(2.2*2.66+0.7*1.4+0.9*1.1)/$H569</f>
      </c>
      <c r="N569" s="15"/>
      <c r="O569" s="16"/>
      <c r="P569" s="13"/>
      <c r="Q569" s="13"/>
      <c r="R569" s="17"/>
      <c r="S569" s="13"/>
      <c r="T569" s="17"/>
      <c r="U569" s="13"/>
      <c r="V569" s="16"/>
      <c r="W569" s="13"/>
      <c r="X569" s="13"/>
      <c r="Y569" s="14"/>
      <c r="Z569" s="2"/>
      <c r="AA569" s="13">
        <f>H569*I569/100</f>
      </c>
      <c r="AB569" s="13">
        <f>H569*J569/100</f>
      </c>
      <c r="AC569" s="15">
        <f>H569*K569</f>
      </c>
      <c r="AD569" s="15">
        <f>H569*M569</f>
      </c>
      <c r="AE569" s="13">
        <f>H569*L569/100</f>
      </c>
      <c r="AF569" s="13">
        <f>AA569+AB569+AE569</f>
      </c>
      <c r="AG569" s="13">
        <f>I569+J569+L569</f>
      </c>
      <c r="AH569" s="18">
        <f>$H569*I569</f>
      </c>
      <c r="AI569" s="18">
        <f>$H569*J569</f>
      </c>
      <c r="AJ569" s="18">
        <f>$H569*K569</f>
      </c>
      <c r="AK569" s="18">
        <f>$H569*L569</f>
      </c>
      <c r="AL569" s="18">
        <f>$H569*M569</f>
      </c>
      <c r="AM569" s="14"/>
      <c r="AN569" s="14"/>
      <c r="AO569" s="14"/>
    </row>
    <row x14ac:dyDescent="0.25" r="570" customHeight="1" ht="17.25">
      <c r="A570" s="2" t="s">
        <v>1138</v>
      </c>
      <c r="B570" s="2" t="s">
        <v>1125</v>
      </c>
      <c r="C570" s="2" t="s">
        <v>50</v>
      </c>
      <c r="D570" s="2"/>
      <c r="E570" s="2" t="s">
        <v>52</v>
      </c>
      <c r="F570" s="2" t="s">
        <v>1132</v>
      </c>
      <c r="G570" s="2" t="s">
        <v>66</v>
      </c>
      <c r="H570" s="13">
        <f>19+16+6.4</f>
      </c>
      <c r="I570" s="13">
        <f>(0.66*19+0.5*16+0.5*6.4)/$H570</f>
      </c>
      <c r="J570" s="13">
        <f>(1.44*19+1.3*16+1*6.4)/$H570</f>
      </c>
      <c r="K570" s="15">
        <f>(22.8*19+25*16+22*6.4)/$H570</f>
      </c>
      <c r="L570" s="15">
        <f>(0.76*19+0.7*16+1*6.4)/$H570</f>
      </c>
      <c r="M570" s="15">
        <f>(1.9*19+1.7*16+2*6.4)/$H570</f>
      </c>
      <c r="N570" s="15"/>
      <c r="O570" s="16"/>
      <c r="P570" s="13"/>
      <c r="Q570" s="13"/>
      <c r="R570" s="17"/>
      <c r="S570" s="13"/>
      <c r="T570" s="17"/>
      <c r="U570" s="13"/>
      <c r="V570" s="16"/>
      <c r="W570" s="13"/>
      <c r="X570" s="13"/>
      <c r="Y570" s="14"/>
      <c r="Z570" s="2"/>
      <c r="AA570" s="13">
        <f>H570*I570/100</f>
      </c>
      <c r="AB570" s="13">
        <f>H570*J570/100</f>
      </c>
      <c r="AC570" s="15">
        <f>H570*K570</f>
      </c>
      <c r="AD570" s="15">
        <f>H570*M570</f>
      </c>
      <c r="AE570" s="13">
        <f>H570*L570/100</f>
      </c>
      <c r="AF570" s="13">
        <f>AA570+AB570+AE570</f>
      </c>
      <c r="AG570" s="13">
        <f>I570+J570+L570</f>
      </c>
      <c r="AH570" s="18">
        <f>$H570*I570</f>
      </c>
      <c r="AI570" s="18">
        <f>$H570*J570</f>
      </c>
      <c r="AJ570" s="18">
        <f>$H570*K570</f>
      </c>
      <c r="AK570" s="18">
        <f>$H570*L570</f>
      </c>
      <c r="AL570" s="18">
        <f>$H570*M570</f>
      </c>
      <c r="AM570" s="14"/>
      <c r="AN570" s="14"/>
      <c r="AO570" s="14"/>
    </row>
    <row x14ac:dyDescent="0.25" r="571" customHeight="1" ht="17.25">
      <c r="A571" s="2" t="s">
        <v>1139</v>
      </c>
      <c r="B571" s="2" t="s">
        <v>1125</v>
      </c>
      <c r="C571" s="2" t="s">
        <v>620</v>
      </c>
      <c r="D571" s="2" t="s">
        <v>1140</v>
      </c>
      <c r="E571" s="21" t="s">
        <v>1141</v>
      </c>
      <c r="F571" s="2" t="s">
        <v>1132</v>
      </c>
      <c r="G571" s="2" t="s">
        <v>66</v>
      </c>
      <c r="H571" s="15">
        <v>2</v>
      </c>
      <c r="I571" s="13"/>
      <c r="J571" s="14">
        <v>22</v>
      </c>
      <c r="K571" s="14"/>
      <c r="L571" s="13"/>
      <c r="M571" s="13"/>
      <c r="N571" s="15"/>
      <c r="O571" s="16"/>
      <c r="P571" s="13"/>
      <c r="Q571" s="13"/>
      <c r="R571" s="17"/>
      <c r="S571" s="13"/>
      <c r="T571" s="17"/>
      <c r="U571" s="13"/>
      <c r="V571" s="16"/>
      <c r="W571" s="13"/>
      <c r="X571" s="13"/>
      <c r="Y571" s="14"/>
      <c r="Z571" s="2"/>
      <c r="AA571" s="13">
        <f>H571*I571/100</f>
      </c>
      <c r="AB571" s="13">
        <f>H571*J571/100</f>
      </c>
      <c r="AC571" s="15">
        <f>H571*K571</f>
      </c>
      <c r="AD571" s="15">
        <f>H571*M571</f>
      </c>
      <c r="AE571" s="13">
        <f>H571*L571/100</f>
      </c>
      <c r="AF571" s="13">
        <f>AA571+AB571+AE571</f>
      </c>
      <c r="AG571" s="13">
        <f>I571+J571+L571</f>
      </c>
      <c r="AH571" s="18">
        <f>$H571*I571</f>
      </c>
      <c r="AI571" s="18">
        <f>$H571*J571</f>
      </c>
      <c r="AJ571" s="18">
        <f>$H571*K571</f>
      </c>
      <c r="AK571" s="18">
        <f>$H571*L571</f>
      </c>
      <c r="AL571" s="18">
        <f>$H571*M571</f>
      </c>
      <c r="AM571" s="14"/>
      <c r="AN571" s="14"/>
      <c r="AO571" s="14"/>
    </row>
    <row x14ac:dyDescent="0.25" r="572" customHeight="1" ht="17.25">
      <c r="A572" s="2" t="s">
        <v>1142</v>
      </c>
      <c r="B572" s="2" t="s">
        <v>1125</v>
      </c>
      <c r="C572" s="2" t="s">
        <v>40</v>
      </c>
      <c r="D572" s="2" t="s">
        <v>64</v>
      </c>
      <c r="E572" s="2" t="s">
        <v>52</v>
      </c>
      <c r="F572" s="2" t="s">
        <v>1143</v>
      </c>
      <c r="G572" s="2" t="s">
        <v>1144</v>
      </c>
      <c r="H572" s="14">
        <f>59+206+9</f>
      </c>
      <c r="I572" s="15">
        <f>(1*59+0.7*206+0.6*9)/$H572</f>
      </c>
      <c r="J572" s="15">
        <f>(3.2*59+3.1*206+2.2*9)/$H572</f>
      </c>
      <c r="K572" s="14"/>
      <c r="L572" s="13"/>
      <c r="M572" s="13"/>
      <c r="N572" s="15"/>
      <c r="O572" s="16"/>
      <c r="P572" s="13"/>
      <c r="Q572" s="13"/>
      <c r="R572" s="17"/>
      <c r="S572" s="13"/>
      <c r="T572" s="17"/>
      <c r="U572" s="13"/>
      <c r="V572" s="16"/>
      <c r="W572" s="13"/>
      <c r="X572" s="13"/>
      <c r="Y572" s="14"/>
      <c r="Z572" s="2"/>
      <c r="AA572" s="13">
        <f>H572*I572/100</f>
      </c>
      <c r="AB572" s="13">
        <f>H572*J572/100</f>
      </c>
      <c r="AC572" s="15">
        <f>H572*K572</f>
      </c>
      <c r="AD572" s="15">
        <f>H572*M572</f>
      </c>
      <c r="AE572" s="13">
        <f>H572*L572/100</f>
      </c>
      <c r="AF572" s="13">
        <f>AA572+AB572+AE572</f>
      </c>
      <c r="AG572" s="13">
        <f>I572+J572+L572</f>
      </c>
      <c r="AH572" s="18">
        <f>$H572*I572</f>
      </c>
      <c r="AI572" s="18">
        <f>$H572*J572</f>
      </c>
      <c r="AJ572" s="18">
        <f>$H572*K572</f>
      </c>
      <c r="AK572" s="18">
        <f>$H572*L572</f>
      </c>
      <c r="AL572" s="18">
        <f>$H572*M572</f>
      </c>
      <c r="AM572" s="14"/>
      <c r="AN572" s="14"/>
      <c r="AO572" s="14"/>
    </row>
    <row x14ac:dyDescent="0.25" r="573" customHeight="1" ht="17.25">
      <c r="A573" s="2" t="s">
        <v>1145</v>
      </c>
      <c r="B573" s="2" t="s">
        <v>1125</v>
      </c>
      <c r="C573" s="2" t="s">
        <v>50</v>
      </c>
      <c r="D573" s="2"/>
      <c r="E573" s="2" t="s">
        <v>52</v>
      </c>
      <c r="F573" s="2" t="s">
        <v>1132</v>
      </c>
      <c r="G573" s="2" t="s">
        <v>66</v>
      </c>
      <c r="H573" s="13">
        <f>1.81+0.94+1.1</f>
      </c>
      <c r="I573" s="13">
        <f>(0.43*1.81+0.4*0.94+0.5*1.1)/$H573</f>
      </c>
      <c r="J573" s="13">
        <f>(2.37*1.81+1.9*0.94+2*1.1)/$H573</f>
      </c>
      <c r="K573" s="15">
        <f>(17.7*1.81+14*0.94+10*1.1)/$H573</f>
      </c>
      <c r="L573" s="15">
        <f>(1.39*1.81+1.1*0.94+1*1.1)/$H573</f>
      </c>
      <c r="M573" s="15">
        <f>(0.54*1.81+0.4*0.94+0.4*1.1)/$H573</f>
      </c>
      <c r="N573" s="15"/>
      <c r="O573" s="16"/>
      <c r="P573" s="13"/>
      <c r="Q573" s="13"/>
      <c r="R573" s="17"/>
      <c r="S573" s="13"/>
      <c r="T573" s="17"/>
      <c r="U573" s="13"/>
      <c r="V573" s="16"/>
      <c r="W573" s="13"/>
      <c r="X573" s="13"/>
      <c r="Y573" s="14"/>
      <c r="Z573" s="2"/>
      <c r="AA573" s="13">
        <f>H573*I573/100</f>
      </c>
      <c r="AB573" s="13">
        <f>H573*J573/100</f>
      </c>
      <c r="AC573" s="15">
        <f>H573*K573</f>
      </c>
      <c r="AD573" s="15">
        <f>H573*M573</f>
      </c>
      <c r="AE573" s="13">
        <f>H573*L573/100</f>
      </c>
      <c r="AF573" s="13">
        <f>AA573+AB573+AE573</f>
      </c>
      <c r="AG573" s="13">
        <f>I573+J573+L573</f>
      </c>
      <c r="AH573" s="18">
        <f>$H573*I573</f>
      </c>
      <c r="AI573" s="18">
        <f>$H573*J573</f>
      </c>
      <c r="AJ573" s="18">
        <f>$H573*K573</f>
      </c>
      <c r="AK573" s="18">
        <f>$H573*L573</f>
      </c>
      <c r="AL573" s="18">
        <f>$H573*M573</f>
      </c>
      <c r="AM573" s="14"/>
      <c r="AN573" s="14"/>
      <c r="AO573" s="14"/>
    </row>
    <row x14ac:dyDescent="0.25" r="574" customHeight="1" ht="17.25">
      <c r="A574" s="2" t="s">
        <v>1146</v>
      </c>
      <c r="B574" s="2" t="s">
        <v>1125</v>
      </c>
      <c r="C574" s="21" t="s">
        <v>1131</v>
      </c>
      <c r="D574" s="2"/>
      <c r="E574" s="21" t="s">
        <v>198</v>
      </c>
      <c r="F574" s="2" t="s">
        <v>1132</v>
      </c>
      <c r="G574" s="2" t="s">
        <v>66</v>
      </c>
      <c r="H574" s="13">
        <f>2.9+3.8</f>
      </c>
      <c r="I574" s="13">
        <f>(0.4*2.9+0.3*3.8)/$H574</f>
      </c>
      <c r="J574" s="13">
        <f>(0.7*2.9+0.6*3.8)/$H574</f>
      </c>
      <c r="K574" s="15">
        <f>(12*2.9+11*3.8)/$H574</f>
      </c>
      <c r="L574" s="13">
        <f>(0.03*2.9+0.04*3.8)/$H574</f>
      </c>
      <c r="M574" s="15">
        <f>(1.1*2.9+1*3.8)/$H574</f>
      </c>
      <c r="N574" s="15"/>
      <c r="O574" s="16"/>
      <c r="P574" s="13"/>
      <c r="Q574" s="13"/>
      <c r="R574" s="17"/>
      <c r="S574" s="13"/>
      <c r="T574" s="17"/>
      <c r="U574" s="13"/>
      <c r="V574" s="16"/>
      <c r="W574" s="13"/>
      <c r="X574" s="13"/>
      <c r="Y574" s="14"/>
      <c r="Z574" s="2"/>
      <c r="AA574" s="13">
        <f>H574*I574/100</f>
      </c>
      <c r="AB574" s="13">
        <f>H574*J574/100</f>
      </c>
      <c r="AC574" s="15">
        <f>H574*K574</f>
      </c>
      <c r="AD574" s="15">
        <f>H574*M574</f>
      </c>
      <c r="AE574" s="13">
        <f>H574*L574/100</f>
      </c>
      <c r="AF574" s="13">
        <f>AA574+AB574+AE574</f>
      </c>
      <c r="AG574" s="13">
        <f>I574+J574+L574</f>
      </c>
      <c r="AH574" s="18">
        <f>$H574*I574</f>
      </c>
      <c r="AI574" s="18">
        <f>$H574*J574</f>
      </c>
      <c r="AJ574" s="18">
        <f>$H574*K574</f>
      </c>
      <c r="AK574" s="18">
        <f>$H574*L574</f>
      </c>
      <c r="AL574" s="18">
        <f>$H574*M574</f>
      </c>
      <c r="AM574" s="14"/>
      <c r="AN574" s="14"/>
      <c r="AO574" s="14"/>
    </row>
    <row x14ac:dyDescent="0.25" r="575" customHeight="1" ht="17.25">
      <c r="A575" s="2" t="s">
        <v>1147</v>
      </c>
      <c r="B575" s="2" t="s">
        <v>1125</v>
      </c>
      <c r="C575" s="2" t="s">
        <v>40</v>
      </c>
      <c r="D575" s="2" t="s">
        <v>64</v>
      </c>
      <c r="E575" s="2" t="s">
        <v>52</v>
      </c>
      <c r="F575" s="2" t="s">
        <v>1143</v>
      </c>
      <c r="G575" s="2" t="s">
        <v>1144</v>
      </c>
      <c r="H575" s="13">
        <f>7.557+3.583</f>
      </c>
      <c r="I575" s="13">
        <f>(2.46*7.557+2.13*3.583)/$H575</f>
      </c>
      <c r="J575" s="13">
        <f>(4.78*7.557+4.55*3.583)/$H575</f>
      </c>
      <c r="K575" s="14"/>
      <c r="L575" s="13"/>
      <c r="M575" s="13"/>
      <c r="N575" s="15"/>
      <c r="O575" s="16"/>
      <c r="P575" s="13"/>
      <c r="Q575" s="13"/>
      <c r="R575" s="17"/>
      <c r="S575" s="13"/>
      <c r="T575" s="17"/>
      <c r="U575" s="13"/>
      <c r="V575" s="16"/>
      <c r="W575" s="13"/>
      <c r="X575" s="13"/>
      <c r="Y575" s="14"/>
      <c r="Z575" s="2"/>
      <c r="AA575" s="13">
        <f>H575*I575/100</f>
      </c>
      <c r="AB575" s="13">
        <f>H575*J575/100</f>
      </c>
      <c r="AC575" s="15">
        <f>H575*K575</f>
      </c>
      <c r="AD575" s="15">
        <f>H575*M575</f>
      </c>
      <c r="AE575" s="13">
        <f>H575*L575/100</f>
      </c>
      <c r="AF575" s="13">
        <f>AA575+AB575+AE575</f>
      </c>
      <c r="AG575" s="13">
        <f>I575+J575+L575</f>
      </c>
      <c r="AH575" s="18">
        <f>$H575*I575</f>
      </c>
      <c r="AI575" s="18">
        <f>$H575*J575</f>
      </c>
      <c r="AJ575" s="18">
        <f>$H575*K575</f>
      </c>
      <c r="AK575" s="18">
        <f>$H575*L575</f>
      </c>
      <c r="AL575" s="18">
        <f>$H575*M575</f>
      </c>
      <c r="AM575" s="14"/>
      <c r="AN575" s="14"/>
      <c r="AO575" s="14"/>
    </row>
    <row x14ac:dyDescent="0.25" r="576" customHeight="1" ht="17.25">
      <c r="A576" s="2" t="s">
        <v>1148</v>
      </c>
      <c r="B576" s="2" t="s">
        <v>1125</v>
      </c>
      <c r="C576" s="2" t="s">
        <v>50</v>
      </c>
      <c r="D576" s="2"/>
      <c r="E576" s="2" t="s">
        <v>52</v>
      </c>
      <c r="F576" s="2" t="s">
        <v>1132</v>
      </c>
      <c r="G576" s="2" t="s">
        <v>66</v>
      </c>
      <c r="H576" s="13">
        <f>11.8+5+1</f>
      </c>
      <c r="I576" s="13">
        <f>(1.12*11.8+0.6*5+1*1)/$H576</f>
      </c>
      <c r="J576" s="13">
        <f>(4.94*11.8+3.5*5+4*1)/$H576</f>
      </c>
      <c r="K576" s="15">
        <f>(13.6*11.8+8.3*5+9*1)/$H576</f>
      </c>
      <c r="L576" s="15">
        <f>(0.47*11.8+0.4*5+0.4*1)/$H576</f>
      </c>
      <c r="M576" s="15">
        <f>(0.64*11.8+0.6*5+0.6*1)/$H576</f>
      </c>
      <c r="N576" s="15"/>
      <c r="O576" s="16"/>
      <c r="P576" s="13"/>
      <c r="Q576" s="13"/>
      <c r="R576" s="17"/>
      <c r="S576" s="13"/>
      <c r="T576" s="17"/>
      <c r="U576" s="13"/>
      <c r="V576" s="16"/>
      <c r="W576" s="13"/>
      <c r="X576" s="13"/>
      <c r="Y576" s="14"/>
      <c r="Z576" s="2"/>
      <c r="AA576" s="13">
        <f>H576*I576/100</f>
      </c>
      <c r="AB576" s="13">
        <f>H576*J576/100</f>
      </c>
      <c r="AC576" s="15">
        <f>H576*K576</f>
      </c>
      <c r="AD576" s="15">
        <f>H576*M576</f>
      </c>
      <c r="AE576" s="13">
        <f>H576*L576/100</f>
      </c>
      <c r="AF576" s="13">
        <f>AA576+AB576+AE576</f>
      </c>
      <c r="AG576" s="13">
        <f>I576+J576+L576</f>
      </c>
      <c r="AH576" s="18">
        <f>$H576*I576</f>
      </c>
      <c r="AI576" s="18">
        <f>$H576*J576</f>
      </c>
      <c r="AJ576" s="18">
        <f>$H576*K576</f>
      </c>
      <c r="AK576" s="18">
        <f>$H576*L576</f>
      </c>
      <c r="AL576" s="18">
        <f>$H576*M576</f>
      </c>
      <c r="AM576" s="14"/>
      <c r="AN576" s="14"/>
      <c r="AO576" s="14"/>
    </row>
    <row x14ac:dyDescent="0.25" r="577" customHeight="1" ht="17.25">
      <c r="A577" s="2" t="s">
        <v>1149</v>
      </c>
      <c r="B577" s="2" t="s">
        <v>1125</v>
      </c>
      <c r="C577" s="21" t="s">
        <v>197</v>
      </c>
      <c r="D577" s="2"/>
      <c r="E577" s="21" t="s">
        <v>198</v>
      </c>
      <c r="F577" s="2" t="s">
        <v>1132</v>
      </c>
      <c r="G577" s="2" t="s">
        <v>1150</v>
      </c>
      <c r="H577" s="13">
        <v>1.15</v>
      </c>
      <c r="I577" s="13">
        <v>0.44</v>
      </c>
      <c r="J577" s="13">
        <v>2.26</v>
      </c>
      <c r="K577" s="15">
        <v>5.13</v>
      </c>
      <c r="L577" s="15">
        <v>0.23</v>
      </c>
      <c r="M577" s="15">
        <v>0.38</v>
      </c>
      <c r="N577" s="15"/>
      <c r="O577" s="16"/>
      <c r="P577" s="13"/>
      <c r="Q577" s="13"/>
      <c r="R577" s="17"/>
      <c r="S577" s="13"/>
      <c r="T577" s="17"/>
      <c r="U577" s="13"/>
      <c r="V577" s="16"/>
      <c r="W577" s="13"/>
      <c r="X577" s="13"/>
      <c r="Y577" s="14"/>
      <c r="Z577" s="2"/>
      <c r="AA577" s="13">
        <f>H577*I577/100</f>
      </c>
      <c r="AB577" s="13">
        <f>H577*J577/100</f>
      </c>
      <c r="AC577" s="15">
        <f>H577*K577</f>
      </c>
      <c r="AD577" s="15">
        <f>H577*M577</f>
      </c>
      <c r="AE577" s="13">
        <f>H577*L577/100</f>
      </c>
      <c r="AF577" s="13">
        <f>AA577+AB577+AE577</f>
      </c>
      <c r="AG577" s="13">
        <f>I577+J577+L577</f>
      </c>
      <c r="AH577" s="18">
        <f>$H577*I577</f>
      </c>
      <c r="AI577" s="18">
        <f>$H577*J577</f>
      </c>
      <c r="AJ577" s="18">
        <f>$H577*K577</f>
      </c>
      <c r="AK577" s="18">
        <f>$H577*L577</f>
      </c>
      <c r="AL577" s="18">
        <f>$H577*M577</f>
      </c>
      <c r="AM577" s="14"/>
      <c r="AN577" s="14"/>
      <c r="AO577" s="14"/>
    </row>
    <row x14ac:dyDescent="0.25" r="578" customHeight="1" ht="17.25">
      <c r="A578" s="2" t="s">
        <v>1151</v>
      </c>
      <c r="B578" s="2" t="s">
        <v>1125</v>
      </c>
      <c r="C578" s="2" t="s">
        <v>40</v>
      </c>
      <c r="D578" s="2"/>
      <c r="E578" s="12" t="s">
        <v>42</v>
      </c>
      <c r="F578" s="2" t="s">
        <v>43</v>
      </c>
      <c r="G578" s="2" t="s">
        <v>463</v>
      </c>
      <c r="H578" s="14">
        <v>20</v>
      </c>
      <c r="I578" s="14">
        <v>2</v>
      </c>
      <c r="J578" s="14">
        <v>5</v>
      </c>
      <c r="K578" s="14"/>
      <c r="L578" s="13">
        <v>0.5</v>
      </c>
      <c r="M578" s="13"/>
      <c r="N578" s="15"/>
      <c r="O578" s="16"/>
      <c r="P578" s="13"/>
      <c r="Q578" s="13"/>
      <c r="R578" s="17"/>
      <c r="S578" s="13"/>
      <c r="T578" s="17"/>
      <c r="U578" s="13"/>
      <c r="V578" s="16"/>
      <c r="W578" s="13"/>
      <c r="X578" s="13"/>
      <c r="Y578" s="14"/>
      <c r="Z578" s="2"/>
      <c r="AA578" s="13">
        <f>H578*I578/100</f>
      </c>
      <c r="AB578" s="13">
        <f>H578*J578/100</f>
      </c>
      <c r="AC578" s="15">
        <f>H578*K578</f>
      </c>
      <c r="AD578" s="15">
        <f>H578*M578</f>
      </c>
      <c r="AE578" s="13">
        <f>H578*L578/100</f>
      </c>
      <c r="AF578" s="13">
        <f>AA578+AB578+AE578</f>
      </c>
      <c r="AG578" s="13">
        <f>I578+J578+L578</f>
      </c>
      <c r="AH578" s="18">
        <f>$H578*I578</f>
      </c>
      <c r="AI578" s="18">
        <f>$H578*J578</f>
      </c>
      <c r="AJ578" s="18">
        <f>$H578*K578</f>
      </c>
      <c r="AK578" s="18">
        <f>$H578*L578</f>
      </c>
      <c r="AL578" s="18">
        <f>$H578*M578</f>
      </c>
      <c r="AM578" s="14"/>
      <c r="AN578" s="14"/>
      <c r="AO578" s="14"/>
    </row>
    <row x14ac:dyDescent="0.25" r="579" customHeight="1" ht="17.25">
      <c r="A579" s="2" t="s">
        <v>1152</v>
      </c>
      <c r="B579" s="2" t="s">
        <v>1153</v>
      </c>
      <c r="C579" s="2" t="s">
        <v>40</v>
      </c>
      <c r="D579" s="2" t="s">
        <v>64</v>
      </c>
      <c r="E579" s="2" t="s">
        <v>52</v>
      </c>
      <c r="F579" s="2" t="s">
        <v>1154</v>
      </c>
      <c r="G579" s="2" t="s">
        <v>1155</v>
      </c>
      <c r="H579" s="13">
        <v>1.58</v>
      </c>
      <c r="I579" s="13"/>
      <c r="J579" s="13">
        <v>4.5</v>
      </c>
      <c r="K579" s="13">
        <v>33.77</v>
      </c>
      <c r="L579" s="13">
        <v>2.08</v>
      </c>
      <c r="M579" s="13">
        <v>0.56</v>
      </c>
      <c r="N579" s="15"/>
      <c r="O579" s="16"/>
      <c r="P579" s="13"/>
      <c r="Q579" s="13"/>
      <c r="R579" s="17"/>
      <c r="S579" s="13"/>
      <c r="T579" s="17"/>
      <c r="U579" s="13"/>
      <c r="V579" s="16"/>
      <c r="W579" s="13"/>
      <c r="X579" s="13"/>
      <c r="Y579" s="14"/>
      <c r="Z579" s="2"/>
      <c r="AA579" s="13">
        <f>H579*I579/100</f>
      </c>
      <c r="AB579" s="13">
        <f>H579*J579/100</f>
      </c>
      <c r="AC579" s="15">
        <f>H579*K579</f>
      </c>
      <c r="AD579" s="15">
        <f>H579*M579</f>
      </c>
      <c r="AE579" s="13">
        <f>H579*L579/100</f>
      </c>
      <c r="AF579" s="13">
        <f>AA579+AB579+AE579</f>
      </c>
      <c r="AG579" s="13">
        <f>I579+J579+L579</f>
      </c>
      <c r="AH579" s="18">
        <f>$H579*I579</f>
      </c>
      <c r="AI579" s="18">
        <f>$H579*J579</f>
      </c>
      <c r="AJ579" s="18">
        <f>$H579*K579</f>
      </c>
      <c r="AK579" s="18">
        <f>$H579*L579</f>
      </c>
      <c r="AL579" s="18">
        <f>$H579*M579</f>
      </c>
      <c r="AM579" s="14"/>
      <c r="AN579" s="14"/>
      <c r="AO579" s="14"/>
    </row>
    <row x14ac:dyDescent="0.25" r="580" customHeight="1" ht="17.25">
      <c r="A580" s="2" t="s">
        <v>1156</v>
      </c>
      <c r="B580" s="2" t="s">
        <v>1157</v>
      </c>
      <c r="C580" s="2" t="s">
        <v>159</v>
      </c>
      <c r="D580" s="2"/>
      <c r="E580" s="12" t="s">
        <v>42</v>
      </c>
      <c r="F580" s="2" t="s">
        <v>43</v>
      </c>
      <c r="G580" s="2" t="s">
        <v>1158</v>
      </c>
      <c r="H580" s="13">
        <f>(0.2034/(1.14/100))</f>
      </c>
      <c r="I580" s="15">
        <v>4</v>
      </c>
      <c r="J580" s="13">
        <v>4.3</v>
      </c>
      <c r="K580" s="13">
        <v>13.2</v>
      </c>
      <c r="L580" s="13">
        <v>1.14</v>
      </c>
      <c r="M580" s="13">
        <v>1.93</v>
      </c>
      <c r="N580" s="15"/>
      <c r="O580" s="16"/>
      <c r="P580" s="13"/>
      <c r="Q580" s="13"/>
      <c r="R580" s="17"/>
      <c r="S580" s="13"/>
      <c r="T580" s="17"/>
      <c r="U580" s="13"/>
      <c r="V580" s="16"/>
      <c r="W580" s="13"/>
      <c r="X580" s="13"/>
      <c r="Y580" s="14"/>
      <c r="Z580" s="2"/>
      <c r="AA580" s="13">
        <f>H580*I580/100</f>
      </c>
      <c r="AB580" s="13">
        <f>H580*J580/100</f>
      </c>
      <c r="AC580" s="15">
        <f>H580*K580</f>
      </c>
      <c r="AD580" s="15">
        <f>H580*M580</f>
      </c>
      <c r="AE580" s="13">
        <f>H580*L580/100</f>
      </c>
      <c r="AF580" s="13">
        <f>AA580+AB580+AE580</f>
      </c>
      <c r="AG580" s="13">
        <f>I580+J580+L580</f>
      </c>
      <c r="AH580" s="18">
        <f>$H580*I580</f>
      </c>
      <c r="AI580" s="18">
        <f>$H580*J580</f>
      </c>
      <c r="AJ580" s="18">
        <f>$H580*K580</f>
      </c>
      <c r="AK580" s="18">
        <f>$H580*L580</f>
      </c>
      <c r="AL580" s="18">
        <f>$H580*M580</f>
      </c>
      <c r="AM580" s="14"/>
      <c r="AN580" s="14"/>
      <c r="AO580" s="14"/>
    </row>
    <row x14ac:dyDescent="0.25" r="581" customHeight="1" ht="17.25">
      <c r="A581" s="2" t="s">
        <v>1159</v>
      </c>
      <c r="B581" s="2" t="s">
        <v>1157</v>
      </c>
      <c r="C581" s="2" t="s">
        <v>610</v>
      </c>
      <c r="D581" s="2"/>
      <c r="E581" s="2" t="s">
        <v>52</v>
      </c>
      <c r="F581" s="2" t="s">
        <v>1160</v>
      </c>
      <c r="G581" s="2" t="s">
        <v>617</v>
      </c>
      <c r="H581" s="16">
        <v>1.58223</v>
      </c>
      <c r="I581" s="13">
        <v>0.52</v>
      </c>
      <c r="J581" s="13"/>
      <c r="K581" s="13">
        <v>48.05</v>
      </c>
      <c r="L581" s="13">
        <v>1.49</v>
      </c>
      <c r="M581" s="13"/>
      <c r="N581" s="15"/>
      <c r="O581" s="16"/>
      <c r="P581" s="13"/>
      <c r="Q581" s="13"/>
      <c r="R581" s="17"/>
      <c r="S581" s="13"/>
      <c r="T581" s="17"/>
      <c r="U581" s="13"/>
      <c r="V581" s="16"/>
      <c r="W581" s="13"/>
      <c r="X581" s="13"/>
      <c r="Y581" s="13">
        <v>0.12</v>
      </c>
      <c r="Z581" s="2" t="s">
        <v>700</v>
      </c>
      <c r="AA581" s="13">
        <f>H581*I581/100</f>
      </c>
      <c r="AB581" s="13">
        <f>H581*J581/100</f>
      </c>
      <c r="AC581" s="15">
        <f>H581*K581</f>
      </c>
      <c r="AD581" s="15">
        <f>H581*M581</f>
      </c>
      <c r="AE581" s="13">
        <f>H581*L581/100</f>
      </c>
      <c r="AF581" s="13">
        <f>AA581+AB581+AE581</f>
      </c>
      <c r="AG581" s="13">
        <f>I581+J581+L581</f>
      </c>
      <c r="AH581" s="18">
        <f>$H581*I581</f>
      </c>
      <c r="AI581" s="18">
        <f>$H581*J581</f>
      </c>
      <c r="AJ581" s="18">
        <f>$H581*K581</f>
      </c>
      <c r="AK581" s="18">
        <f>$H581*L581</f>
      </c>
      <c r="AL581" s="18">
        <f>$H581*M581</f>
      </c>
      <c r="AM581" s="14"/>
      <c r="AN581" s="14"/>
      <c r="AO581" s="14"/>
    </row>
    <row x14ac:dyDescent="0.25" r="582" customHeight="1" ht="17.25">
      <c r="A582" s="2" t="s">
        <v>1161</v>
      </c>
      <c r="B582" s="2" t="s">
        <v>1162</v>
      </c>
      <c r="C582" s="2" t="s">
        <v>168</v>
      </c>
      <c r="D582" s="2" t="s">
        <v>363</v>
      </c>
      <c r="E582" s="2" t="s">
        <v>52</v>
      </c>
      <c r="F582" s="2" t="s">
        <v>1163</v>
      </c>
      <c r="G582" s="2" t="s">
        <v>108</v>
      </c>
      <c r="H582" s="13">
        <v>0.9</v>
      </c>
      <c r="I582" s="13">
        <v>1.9</v>
      </c>
      <c r="J582" s="14">
        <v>9</v>
      </c>
      <c r="K582" s="14"/>
      <c r="L582" s="13"/>
      <c r="M582" s="13"/>
      <c r="N582" s="15"/>
      <c r="O582" s="16"/>
      <c r="P582" s="13"/>
      <c r="Q582" s="13"/>
      <c r="R582" s="17"/>
      <c r="S582" s="13"/>
      <c r="T582" s="17"/>
      <c r="U582" s="13"/>
      <c r="V582" s="16"/>
      <c r="W582" s="13"/>
      <c r="X582" s="13"/>
      <c r="Y582" s="14"/>
      <c r="Z582" s="2"/>
      <c r="AA582" s="13">
        <f>H582*I582/100</f>
      </c>
      <c r="AB582" s="13">
        <f>H582*J582/100</f>
      </c>
      <c r="AC582" s="15">
        <f>H582*K582</f>
      </c>
      <c r="AD582" s="15">
        <f>H582*M582</f>
      </c>
      <c r="AE582" s="13">
        <f>H582*L582/100</f>
      </c>
      <c r="AF582" s="13">
        <f>AA582+AB582+AE582</f>
      </c>
      <c r="AG582" s="13">
        <f>I582+J582+L582</f>
      </c>
      <c r="AH582" s="18">
        <f>$H582*I582</f>
      </c>
      <c r="AI582" s="18">
        <f>$H582*J582</f>
      </c>
      <c r="AJ582" s="18">
        <f>$H582*K582</f>
      </c>
      <c r="AK582" s="18">
        <f>$H582*L582</f>
      </c>
      <c r="AL582" s="18">
        <f>$H582*M582</f>
      </c>
      <c r="AM582" s="14"/>
      <c r="AN582" s="14"/>
      <c r="AO582" s="14"/>
    </row>
    <row x14ac:dyDescent="0.25" r="583" customHeight="1" ht="17.25">
      <c r="A583" s="2" t="s">
        <v>1164</v>
      </c>
      <c r="B583" s="2" t="s">
        <v>1162</v>
      </c>
      <c r="C583" s="2" t="s">
        <v>40</v>
      </c>
      <c r="D583" s="2" t="s">
        <v>41</v>
      </c>
      <c r="E583" s="2" t="s">
        <v>52</v>
      </c>
      <c r="F583" s="2" t="s">
        <v>1163</v>
      </c>
      <c r="G583" s="2" t="s">
        <v>108</v>
      </c>
      <c r="H583" s="13">
        <v>2.1</v>
      </c>
      <c r="I583" s="13">
        <v>1.2</v>
      </c>
      <c r="J583" s="13">
        <v>7.2</v>
      </c>
      <c r="K583" s="14"/>
      <c r="L583" s="13"/>
      <c r="M583" s="13"/>
      <c r="N583" s="15"/>
      <c r="O583" s="16"/>
      <c r="P583" s="13"/>
      <c r="Q583" s="13"/>
      <c r="R583" s="17"/>
      <c r="S583" s="13"/>
      <c r="T583" s="17"/>
      <c r="U583" s="13"/>
      <c r="V583" s="16"/>
      <c r="W583" s="13"/>
      <c r="X583" s="13"/>
      <c r="Y583" s="14"/>
      <c r="Z583" s="2"/>
      <c r="AA583" s="13">
        <f>H583*I583/100</f>
      </c>
      <c r="AB583" s="13">
        <f>H583*J583/100</f>
      </c>
      <c r="AC583" s="15">
        <f>H583*K583</f>
      </c>
      <c r="AD583" s="15">
        <f>H583*M583</f>
      </c>
      <c r="AE583" s="13">
        <f>H583*L583/100</f>
      </c>
      <c r="AF583" s="13">
        <f>AA583+AB583+AE583</f>
      </c>
      <c r="AG583" s="13">
        <f>I583+J583+L583</f>
      </c>
      <c r="AH583" s="18">
        <f>$H583*I583</f>
      </c>
      <c r="AI583" s="18">
        <f>$H583*J583</f>
      </c>
      <c r="AJ583" s="18">
        <f>$H583*K583</f>
      </c>
      <c r="AK583" s="18">
        <f>$H583*L583</f>
      </c>
      <c r="AL583" s="18">
        <f>$H583*M583</f>
      </c>
      <c r="AM583" s="14"/>
      <c r="AN583" s="14"/>
      <c r="AO583" s="14"/>
    </row>
    <row x14ac:dyDescent="0.25" r="584" customHeight="1" ht="17.25">
      <c r="A584" s="2" t="s">
        <v>1165</v>
      </c>
      <c r="B584" s="2" t="s">
        <v>1166</v>
      </c>
      <c r="C584" s="2" t="s">
        <v>56</v>
      </c>
      <c r="D584" s="2" t="s">
        <v>1167</v>
      </c>
      <c r="E584" s="2" t="s">
        <v>52</v>
      </c>
      <c r="F584" s="2" t="s">
        <v>1168</v>
      </c>
      <c r="G584" s="2" t="s">
        <v>1169</v>
      </c>
      <c r="H584" s="13">
        <v>6.636</v>
      </c>
      <c r="I584" s="13">
        <v>0.438</v>
      </c>
      <c r="J584" s="13">
        <v>2.63</v>
      </c>
      <c r="K584" s="14"/>
      <c r="L584" s="13">
        <v>1.39</v>
      </c>
      <c r="M584" s="13"/>
      <c r="N584" s="15"/>
      <c r="O584" s="16"/>
      <c r="P584" s="13"/>
      <c r="Q584" s="13"/>
      <c r="R584" s="17"/>
      <c r="S584" s="13"/>
      <c r="T584" s="17"/>
      <c r="U584" s="13"/>
      <c r="V584" s="16"/>
      <c r="W584" s="13"/>
      <c r="X584" s="13"/>
      <c r="Y584" s="14"/>
      <c r="Z584" s="2"/>
      <c r="AA584" s="13">
        <f>H584*I584/100</f>
      </c>
      <c r="AB584" s="13">
        <f>H584*J584/100</f>
      </c>
      <c r="AC584" s="15">
        <f>H584*K584</f>
      </c>
      <c r="AD584" s="15">
        <f>H584*M584</f>
      </c>
      <c r="AE584" s="13">
        <f>H584*L584/100</f>
      </c>
      <c r="AF584" s="13">
        <f>AA584+AB584+AE584</f>
      </c>
      <c r="AG584" s="13">
        <f>I584+J584+L584</f>
      </c>
      <c r="AH584" s="18">
        <f>$H584*I584</f>
      </c>
      <c r="AI584" s="18">
        <f>$H584*J584</f>
      </c>
      <c r="AJ584" s="18">
        <f>$H584*K584</f>
      </c>
      <c r="AK584" s="18">
        <f>$H584*L584</f>
      </c>
      <c r="AL584" s="18">
        <f>$H584*M584</f>
      </c>
      <c r="AM584" s="14"/>
      <c r="AN584" s="14"/>
      <c r="AO584" s="14"/>
    </row>
    <row x14ac:dyDescent="0.25" r="585" customHeight="1" ht="17.25">
      <c r="A585" s="2" t="s">
        <v>1170</v>
      </c>
      <c r="B585" s="2" t="s">
        <v>1166</v>
      </c>
      <c r="C585" s="2" t="s">
        <v>1171</v>
      </c>
      <c r="D585" s="2"/>
      <c r="E585" s="2" t="s">
        <v>52</v>
      </c>
      <c r="F585" s="2" t="s">
        <v>1172</v>
      </c>
      <c r="G585" s="2" t="s">
        <v>1173</v>
      </c>
      <c r="H585" s="13">
        <f>92.398+432.112+80.175</f>
      </c>
      <c r="I585" s="13"/>
      <c r="J585" s="13">
        <f>(0.44*92.398+0.57*432.112+0.45*80.175)/$H585</f>
      </c>
      <c r="K585" s="13">
        <f>(3.86*92.398+4.07*432.112+3.11*80.175)/$H585</f>
      </c>
      <c r="L585" s="13">
        <f>(0.47*92.398+0.38*432.112+0.38*80.175)/$H585</f>
      </c>
      <c r="M585" s="13">
        <f>(0.05*92.398+0.03*432.112+0.02*80.175)/$H585</f>
      </c>
      <c r="N585" s="15"/>
      <c r="O585" s="16"/>
      <c r="P585" s="13"/>
      <c r="Q585" s="13"/>
      <c r="R585" s="17"/>
      <c r="S585" s="16">
        <f>(0.008*92.398+0.008*432.112+0.007*80.175)/$H585</f>
      </c>
      <c r="T585" s="17"/>
      <c r="U585" s="13"/>
      <c r="V585" s="16"/>
      <c r="W585" s="13"/>
      <c r="X585" s="13"/>
      <c r="Y585" s="14"/>
      <c r="Z585" s="2"/>
      <c r="AA585" s="13">
        <f>H585*I585/100</f>
      </c>
      <c r="AB585" s="13">
        <f>H585*J585/100</f>
      </c>
      <c r="AC585" s="15">
        <f>H585*K585</f>
      </c>
      <c r="AD585" s="15">
        <f>H585*M585</f>
      </c>
      <c r="AE585" s="13">
        <f>H585*L585/100</f>
      </c>
      <c r="AF585" s="13">
        <f>AA585+AB585+AE585</f>
      </c>
      <c r="AG585" s="13">
        <f>I585+J585+L585</f>
      </c>
      <c r="AH585" s="18">
        <f>$H585*I585</f>
      </c>
      <c r="AI585" s="18">
        <f>$H585*J585</f>
      </c>
      <c r="AJ585" s="18">
        <f>$H585*K585</f>
      </c>
      <c r="AK585" s="18">
        <f>$H585*L585</f>
      </c>
      <c r="AL585" s="18">
        <f>$H585*M585</f>
      </c>
      <c r="AM585" s="14"/>
      <c r="AN585" s="14"/>
      <c r="AO585" s="14"/>
    </row>
    <row x14ac:dyDescent="0.25" r="586" customHeight="1" ht="17.25">
      <c r="A586" s="2" t="s">
        <v>1174</v>
      </c>
      <c r="B586" s="2" t="s">
        <v>1166</v>
      </c>
      <c r="C586" s="2" t="s">
        <v>159</v>
      </c>
      <c r="D586" s="2"/>
      <c r="E586" s="2" t="s">
        <v>52</v>
      </c>
      <c r="F586" s="2" t="s">
        <v>1175</v>
      </c>
      <c r="G586" s="2" t="s">
        <v>391</v>
      </c>
      <c r="H586" s="13">
        <f>10.62+0.43</f>
      </c>
      <c r="I586" s="13">
        <f>(2*10.62+1.73*0.43)/$H586</f>
      </c>
      <c r="J586" s="13">
        <f>(2.13*10.62+1.44*0.43)/$H586</f>
      </c>
      <c r="K586" s="15">
        <f>(53.81*10.62+46.39*0.43)/$H586</f>
      </c>
      <c r="L586" s="13">
        <f>(0.19*10.62+0.18*0.43)/$H586</f>
      </c>
      <c r="M586" s="13"/>
      <c r="N586" s="15"/>
      <c r="O586" s="16"/>
      <c r="P586" s="13"/>
      <c r="Q586" s="13"/>
      <c r="R586" s="17"/>
      <c r="S586" s="13"/>
      <c r="T586" s="17"/>
      <c r="U586" s="13"/>
      <c r="V586" s="16"/>
      <c r="W586" s="13"/>
      <c r="X586" s="13"/>
      <c r="Y586" s="14"/>
      <c r="Z586" s="2"/>
      <c r="AA586" s="13">
        <f>H586*I586/100</f>
      </c>
      <c r="AB586" s="13">
        <f>H586*J586/100</f>
      </c>
      <c r="AC586" s="15">
        <f>H586*K586</f>
      </c>
      <c r="AD586" s="15">
        <f>H586*M586</f>
      </c>
      <c r="AE586" s="13">
        <f>H586*L586/100</f>
      </c>
      <c r="AF586" s="13">
        <f>AA586+AB586+AE586</f>
      </c>
      <c r="AG586" s="13">
        <f>I586+J586+L586</f>
      </c>
      <c r="AH586" s="18">
        <f>$H586*I586</f>
      </c>
      <c r="AI586" s="18">
        <f>$H586*J586</f>
      </c>
      <c r="AJ586" s="18">
        <f>$H586*K586</f>
      </c>
      <c r="AK586" s="18">
        <f>$H586*L586</f>
      </c>
      <c r="AL586" s="18">
        <f>$H586*M586</f>
      </c>
      <c r="AM586" s="14"/>
      <c r="AN586" s="14"/>
      <c r="AO586" s="14"/>
    </row>
    <row x14ac:dyDescent="0.25" r="587" customHeight="1" ht="17.25">
      <c r="A587" s="2" t="s">
        <v>1176</v>
      </c>
      <c r="B587" s="2" t="s">
        <v>1166</v>
      </c>
      <c r="C587" s="2" t="s">
        <v>159</v>
      </c>
      <c r="D587" s="2"/>
      <c r="E587" s="2" t="s">
        <v>52</v>
      </c>
      <c r="F587" s="2" t="s">
        <v>1177</v>
      </c>
      <c r="G587" s="2" t="s">
        <v>108</v>
      </c>
      <c r="H587" s="13">
        <v>6.142</v>
      </c>
      <c r="I587" s="13">
        <v>0.55</v>
      </c>
      <c r="J587" s="13">
        <v>6.11</v>
      </c>
      <c r="K587" s="15">
        <v>40.25</v>
      </c>
      <c r="L587" s="13">
        <v>0.32</v>
      </c>
      <c r="M587" s="13"/>
      <c r="N587" s="15"/>
      <c r="O587" s="16"/>
      <c r="P587" s="13"/>
      <c r="Q587" s="13"/>
      <c r="R587" s="17"/>
      <c r="S587" s="13"/>
      <c r="T587" s="17"/>
      <c r="U587" s="13"/>
      <c r="V587" s="16"/>
      <c r="W587" s="13"/>
      <c r="X587" s="13"/>
      <c r="Y587" s="14"/>
      <c r="Z587" s="2"/>
      <c r="AA587" s="13">
        <f>H587*I587/100</f>
      </c>
      <c r="AB587" s="13">
        <f>H587*J587/100</f>
      </c>
      <c r="AC587" s="15">
        <f>H587*K587</f>
      </c>
      <c r="AD587" s="15">
        <f>H587*M587</f>
      </c>
      <c r="AE587" s="13">
        <f>H587*L587/100</f>
      </c>
      <c r="AF587" s="13">
        <f>AA587+AB587+AE587</f>
      </c>
      <c r="AG587" s="13">
        <f>I587+J587+L587</f>
      </c>
      <c r="AH587" s="18">
        <f>$H587*I587</f>
      </c>
      <c r="AI587" s="18">
        <f>$H587*J587</f>
      </c>
      <c r="AJ587" s="18">
        <f>$H587*K587</f>
      </c>
      <c r="AK587" s="18">
        <f>$H587*L587</f>
      </c>
      <c r="AL587" s="18">
        <f>$H587*M587</f>
      </c>
      <c r="AM587" s="14"/>
      <c r="AN587" s="14"/>
      <c r="AO587" s="14"/>
    </row>
    <row x14ac:dyDescent="0.25" r="588" customHeight="1" ht="17.25">
      <c r="A588" s="2" t="s">
        <v>1178</v>
      </c>
      <c r="B588" s="2" t="s">
        <v>1166</v>
      </c>
      <c r="C588" s="2" t="s">
        <v>491</v>
      </c>
      <c r="D588" s="2"/>
      <c r="E588" s="2" t="s">
        <v>52</v>
      </c>
      <c r="F588" s="2" t="s">
        <v>1179</v>
      </c>
      <c r="G588" s="2" t="s">
        <v>1180</v>
      </c>
      <c r="H588" s="13">
        <f>85.82+178.86+159.85</f>
      </c>
      <c r="I588" s="13"/>
      <c r="J588" s="13">
        <f>(0.5*85.82+0.71*178.86+0.7*159.85)/H588</f>
      </c>
      <c r="K588" s="15"/>
      <c r="L588" s="13">
        <f>(0.82*85.82+0.74*178.86+0.47*159.85)/H588</f>
      </c>
      <c r="M588" s="13"/>
      <c r="N588" s="15"/>
      <c r="O588" s="16"/>
      <c r="P588" s="16">
        <f>(0.074*85.82+0.053*178.86+0.045*159.85)/H588</f>
      </c>
      <c r="Q588" s="13"/>
      <c r="R588" s="17"/>
      <c r="S588" s="13"/>
      <c r="T588" s="17"/>
      <c r="U588" s="13"/>
      <c r="V588" s="16"/>
      <c r="W588" s="13"/>
      <c r="X588" s="13"/>
      <c r="Y588" s="13">
        <f>(3.04*85.82+3.32*178.86+2.93*159.85)/H588</f>
      </c>
      <c r="Z588" s="2" t="s">
        <v>1181</v>
      </c>
      <c r="AA588" s="13">
        <f>H588*I588/100</f>
      </c>
      <c r="AB588" s="13">
        <f>H588*J588/100</f>
      </c>
      <c r="AC588" s="15">
        <f>H588*K588</f>
      </c>
      <c r="AD588" s="15">
        <f>H588*M588</f>
      </c>
      <c r="AE588" s="13">
        <f>H588*L588/100</f>
      </c>
      <c r="AF588" s="13">
        <f>AA588+AB588+AE588</f>
      </c>
      <c r="AG588" s="13">
        <f>I588+J588+L588</f>
      </c>
      <c r="AH588" s="18">
        <f>$H588*I588</f>
      </c>
      <c r="AI588" s="18">
        <f>$H588*J588</f>
      </c>
      <c r="AJ588" s="18">
        <f>$H588*K588</f>
      </c>
      <c r="AK588" s="18">
        <f>$H588*L588</f>
      </c>
      <c r="AL588" s="18">
        <f>$H588*M588</f>
      </c>
      <c r="AM588" s="14"/>
      <c r="AN588" s="14"/>
      <c r="AO588" s="14"/>
    </row>
    <row x14ac:dyDescent="0.25" r="589" customHeight="1" ht="17.25">
      <c r="A589" s="2" t="s">
        <v>1182</v>
      </c>
      <c r="B589" s="2" t="s">
        <v>1166</v>
      </c>
      <c r="C589" s="2" t="s">
        <v>159</v>
      </c>
      <c r="D589" s="2"/>
      <c r="E589" s="2" t="s">
        <v>52</v>
      </c>
      <c r="F589" s="2" t="s">
        <v>1183</v>
      </c>
      <c r="G589" s="2" t="s">
        <v>628</v>
      </c>
      <c r="H589" s="13">
        <f>12.927+12.611+9.12</f>
      </c>
      <c r="I589" s="13"/>
      <c r="J589" s="13">
        <f>(0.76*12.927+0.75*12.611+0.74*9.12)/$H589</f>
      </c>
      <c r="K589" s="15">
        <f>(17.8*12.927+11.9*12.611+15.1*9.12)/$H589</f>
      </c>
      <c r="L589" s="13">
        <f>(0.72*12.927+0.52*12.611+1.27*9.12)/$H589</f>
      </c>
      <c r="M589" s="15">
        <f>(0.2*12.927+0.2*12.611+0.2*9.12)/$H589</f>
      </c>
      <c r="N589" s="15"/>
      <c r="O589" s="16"/>
      <c r="P589" s="13"/>
      <c r="Q589" s="13"/>
      <c r="R589" s="17"/>
      <c r="S589" s="13"/>
      <c r="T589" s="17"/>
      <c r="U589" s="13"/>
      <c r="V589" s="16"/>
      <c r="W589" s="13"/>
      <c r="X589" s="13"/>
      <c r="Y589" s="14"/>
      <c r="Z589" s="2"/>
      <c r="AA589" s="13">
        <f>H589*I589/100</f>
      </c>
      <c r="AB589" s="13">
        <f>H589*J589/100</f>
      </c>
      <c r="AC589" s="15">
        <f>H589*K589</f>
      </c>
      <c r="AD589" s="15">
        <f>H589*M589</f>
      </c>
      <c r="AE589" s="13">
        <f>H589*L589/100</f>
      </c>
      <c r="AF589" s="13">
        <f>AA589+AB589+AE589</f>
      </c>
      <c r="AG589" s="13">
        <f>I589+J589+L589</f>
      </c>
      <c r="AH589" s="18">
        <f>$H589*I589</f>
      </c>
      <c r="AI589" s="18">
        <f>$H589*J589</f>
      </c>
      <c r="AJ589" s="18">
        <f>$H589*K589</f>
      </c>
      <c r="AK589" s="18">
        <f>$H589*L589</f>
      </c>
      <c r="AL589" s="18">
        <f>$H589*M589</f>
      </c>
      <c r="AM589" s="14"/>
      <c r="AN589" s="14"/>
      <c r="AO589" s="14"/>
    </row>
    <row x14ac:dyDescent="0.25" r="590" customHeight="1" ht="17.25">
      <c r="A590" s="2" t="s">
        <v>1184</v>
      </c>
      <c r="B590" s="2" t="s">
        <v>1166</v>
      </c>
      <c r="C590" s="2" t="s">
        <v>610</v>
      </c>
      <c r="D590" s="2"/>
      <c r="E590" s="2" t="s">
        <v>52</v>
      </c>
      <c r="F590" s="2" t="s">
        <v>1185</v>
      </c>
      <c r="G590" s="2" t="s">
        <v>1169</v>
      </c>
      <c r="H590" s="14">
        <v>36</v>
      </c>
      <c r="I590" s="13"/>
      <c r="J590" s="13">
        <v>3.3</v>
      </c>
      <c r="K590" s="14">
        <v>29</v>
      </c>
      <c r="L590" s="13">
        <v>0.69</v>
      </c>
      <c r="M590" s="13"/>
      <c r="N590" s="15"/>
      <c r="O590" s="16"/>
      <c r="P590" s="13"/>
      <c r="Q590" s="13"/>
      <c r="R590" s="17"/>
      <c r="S590" s="13"/>
      <c r="T590" s="17"/>
      <c r="U590" s="13"/>
      <c r="V590" s="16"/>
      <c r="W590" s="13"/>
      <c r="X590" s="13"/>
      <c r="Y590" s="14"/>
      <c r="Z590" s="2"/>
      <c r="AA590" s="13">
        <f>H590*I590/100</f>
      </c>
      <c r="AB590" s="13">
        <f>H590*J590/100</f>
      </c>
      <c r="AC590" s="15">
        <f>H590*K590</f>
      </c>
      <c r="AD590" s="15">
        <f>H590*M590</f>
      </c>
      <c r="AE590" s="13">
        <f>H590*L590/100</f>
      </c>
      <c r="AF590" s="13">
        <f>AA590+AB590+AE590</f>
      </c>
      <c r="AG590" s="13">
        <f>I590+J590+L590</f>
      </c>
      <c r="AH590" s="18">
        <f>$H590*I590</f>
      </c>
      <c r="AI590" s="18">
        <f>$H590*J590</f>
      </c>
      <c r="AJ590" s="18">
        <f>$H590*K590</f>
      </c>
      <c r="AK590" s="18">
        <f>$H590*L590</f>
      </c>
      <c r="AL590" s="18">
        <f>$H590*M590</f>
      </c>
      <c r="AM590" s="14"/>
      <c r="AN590" s="14"/>
      <c r="AO590" s="14"/>
    </row>
    <row x14ac:dyDescent="0.25" r="591" customHeight="1" ht="17.25">
      <c r="A591" s="2" t="s">
        <v>1186</v>
      </c>
      <c r="B591" s="2" t="s">
        <v>1166</v>
      </c>
      <c r="C591" s="2" t="s">
        <v>159</v>
      </c>
      <c r="D591" s="2"/>
      <c r="E591" s="2" t="s">
        <v>52</v>
      </c>
      <c r="F591" s="2" t="s">
        <v>1187</v>
      </c>
      <c r="G591" s="2" t="s">
        <v>108</v>
      </c>
      <c r="H591" s="13">
        <f>182.94+181.04</f>
      </c>
      <c r="I591" s="13">
        <f>(0.08*182.94+0.07*181.04)/$H591</f>
      </c>
      <c r="J591" s="13">
        <f>(0.26*182.94+0.26*181.04)/$H591</f>
      </c>
      <c r="K591" s="15">
        <f>(9.63*182.94+7.25*181.04)/$H591</f>
      </c>
      <c r="L591" s="13"/>
      <c r="M591" s="13"/>
      <c r="N591" s="15"/>
      <c r="O591" s="16"/>
      <c r="P591" s="13"/>
      <c r="Q591" s="13"/>
      <c r="R591" s="17"/>
      <c r="S591" s="13"/>
      <c r="T591" s="17"/>
      <c r="U591" s="13"/>
      <c r="V591" s="16"/>
      <c r="W591" s="13"/>
      <c r="X591" s="13"/>
      <c r="Y591" s="14"/>
      <c r="Z591" s="2"/>
      <c r="AA591" s="13">
        <f>H591*I591/100</f>
      </c>
      <c r="AB591" s="13">
        <f>H591*J591/100</f>
      </c>
      <c r="AC591" s="15">
        <f>H591*K591</f>
      </c>
      <c r="AD591" s="15">
        <f>H591*M591</f>
      </c>
      <c r="AE591" s="13">
        <f>H591*L591/100</f>
      </c>
      <c r="AF591" s="13">
        <f>AA591+AB591+AE591</f>
      </c>
      <c r="AG591" s="13">
        <f>I591+J591+L591</f>
      </c>
      <c r="AH591" s="18">
        <f>$H591*I591</f>
      </c>
      <c r="AI591" s="18">
        <f>$H591*J591</f>
      </c>
      <c r="AJ591" s="18">
        <f>$H591*K591</f>
      </c>
      <c r="AK591" s="18">
        <f>$H591*L591</f>
      </c>
      <c r="AL591" s="18">
        <f>$H591*M591</f>
      </c>
      <c r="AM591" s="14"/>
      <c r="AN591" s="14"/>
      <c r="AO591" s="14"/>
    </row>
    <row x14ac:dyDescent="0.25" r="592" customHeight="1" ht="17.25">
      <c r="A592" s="2" t="s">
        <v>1188</v>
      </c>
      <c r="B592" s="2" t="s">
        <v>1166</v>
      </c>
      <c r="C592" s="2" t="s">
        <v>50</v>
      </c>
      <c r="D592" s="2"/>
      <c r="E592" s="2" t="s">
        <v>52</v>
      </c>
      <c r="F592" s="2" t="s">
        <v>659</v>
      </c>
      <c r="G592" s="2" t="s">
        <v>66</v>
      </c>
      <c r="H592" s="13">
        <f>10.26+6.7+2.14</f>
      </c>
      <c r="I592" s="13">
        <f>(0.9*10.26+0.84*6.7+0.81*2.14)/$H592</f>
      </c>
      <c r="J592" s="13">
        <f>(4.31*10.26+3.14*6.7+2.44*2.14)/$H592</f>
      </c>
      <c r="K592" s="17">
        <f>(114*10.26+110*6.7+105*2.14)/$H592</f>
      </c>
      <c r="L592" s="13">
        <f>(0.73*10.26+0.71*6.7+0.71*2.14)/$H592</f>
      </c>
      <c r="M592" s="13">
        <f>(1.34*10.26+1.72*6.7+1.88*2.14)/$H592</f>
      </c>
      <c r="N592" s="15"/>
      <c r="O592" s="16"/>
      <c r="P592" s="13"/>
      <c r="Q592" s="13"/>
      <c r="R592" s="17"/>
      <c r="S592" s="13"/>
      <c r="T592" s="17"/>
      <c r="U592" s="13"/>
      <c r="V592" s="16"/>
      <c r="W592" s="13"/>
      <c r="X592" s="13"/>
      <c r="Y592" s="14"/>
      <c r="Z592" s="2"/>
      <c r="AA592" s="13">
        <f>H592*I592/100</f>
      </c>
      <c r="AB592" s="13">
        <f>H592*J592/100</f>
      </c>
      <c r="AC592" s="15">
        <f>H592*K592</f>
      </c>
      <c r="AD592" s="15">
        <f>H592*M592</f>
      </c>
      <c r="AE592" s="13">
        <f>H592*L592/100</f>
      </c>
      <c r="AF592" s="13">
        <f>AA592+AB592+AE592</f>
      </c>
      <c r="AG592" s="13">
        <f>I592+J592+L592</f>
      </c>
      <c r="AH592" s="18">
        <f>$H592*I592</f>
      </c>
      <c r="AI592" s="18">
        <f>$H592*J592</f>
      </c>
      <c r="AJ592" s="18">
        <f>$H592*K592</f>
      </c>
      <c r="AK592" s="18">
        <f>$H592*L592</f>
      </c>
      <c r="AL592" s="18">
        <f>$H592*M592</f>
      </c>
      <c r="AM592" s="14"/>
      <c r="AN592" s="14"/>
      <c r="AO592" s="14"/>
    </row>
    <row x14ac:dyDescent="0.25" r="593" customHeight="1" ht="17.25">
      <c r="A593" s="2" t="s">
        <v>1189</v>
      </c>
      <c r="B593" s="2" t="s">
        <v>1166</v>
      </c>
      <c r="C593" s="2" t="s">
        <v>50</v>
      </c>
      <c r="D593" s="2"/>
      <c r="E593" s="2" t="s">
        <v>52</v>
      </c>
      <c r="F593" s="2" t="s">
        <v>1190</v>
      </c>
      <c r="G593" s="2" t="s">
        <v>1191</v>
      </c>
      <c r="H593" s="16">
        <f>3.104944+1.807302+0.371066</f>
      </c>
      <c r="I593" s="13">
        <f>(0.33*3.104944+0.36*1.807302+0.28*0.371066)/$H593</f>
      </c>
      <c r="J593" s="13">
        <f>(0.93*3.104944+0.8*1.807302+0.71*0.371066)/$H593</f>
      </c>
      <c r="K593" s="15">
        <f>(46.46*3.104944+44.5*1.807302+36.54*0.371066)/$H593</f>
      </c>
      <c r="L593" s="13">
        <f>(0.06*3.104944+0.07*1.807302+0.06*0.371066)/$H593</f>
      </c>
      <c r="M593" s="13">
        <f>(0.19*3.104944+0.199*1.807302+0.161*0.371066)/$H593</f>
      </c>
      <c r="N593" s="15"/>
      <c r="O593" s="16"/>
      <c r="P593" s="13"/>
      <c r="Q593" s="13"/>
      <c r="R593" s="17"/>
      <c r="S593" s="13"/>
      <c r="T593" s="17"/>
      <c r="U593" s="13"/>
      <c r="V593" s="16"/>
      <c r="W593" s="13"/>
      <c r="X593" s="13"/>
      <c r="Y593" s="14"/>
      <c r="Z593" s="2"/>
      <c r="AA593" s="13">
        <f>H593*I593/100</f>
      </c>
      <c r="AB593" s="13">
        <f>H593*J593/100</f>
      </c>
      <c r="AC593" s="15">
        <f>H593*K593</f>
      </c>
      <c r="AD593" s="15">
        <f>H593*M593</f>
      </c>
      <c r="AE593" s="13">
        <f>H593*L593/100</f>
      </c>
      <c r="AF593" s="13">
        <f>AA593+AB593+AE593</f>
      </c>
      <c r="AG593" s="13">
        <f>I593+J593+L593</f>
      </c>
      <c r="AH593" s="18">
        <f>$H593*I593</f>
      </c>
      <c r="AI593" s="18">
        <f>$H593*J593</f>
      </c>
      <c r="AJ593" s="18">
        <f>$H593*K593</f>
      </c>
      <c r="AK593" s="18">
        <f>$H593*L593</f>
      </c>
      <c r="AL593" s="18">
        <f>$H593*M593</f>
      </c>
      <c r="AM593" s="14"/>
      <c r="AN593" s="14"/>
      <c r="AO593" s="14"/>
    </row>
    <row x14ac:dyDescent="0.25" r="594" customHeight="1" ht="17.25">
      <c r="A594" s="2" t="s">
        <v>1192</v>
      </c>
      <c r="B594" s="2" t="s">
        <v>1166</v>
      </c>
      <c r="C594" s="2" t="s">
        <v>56</v>
      </c>
      <c r="D594" s="2" t="s">
        <v>1193</v>
      </c>
      <c r="E594" s="2" t="s">
        <v>52</v>
      </c>
      <c r="F594" s="2" t="s">
        <v>1194</v>
      </c>
      <c r="G594" s="2" t="s">
        <v>721</v>
      </c>
      <c r="H594" s="13">
        <f>1.97+10.38+10.806</f>
      </c>
      <c r="I594" s="13">
        <f>(0.11*1.97+0.2*10.38+0.29*10.806)/$H594</f>
      </c>
      <c r="J594" s="13">
        <f>(0.26*1.97+0.55*10.38+0.82*10.806)/$H594</f>
      </c>
      <c r="K594" s="15">
        <f>(19.99*1.97+13.52*10.38+11.21*10.806)/$H594</f>
      </c>
      <c r="L594" s="13"/>
      <c r="M594" s="13">
        <f>(0.91*1.97+0.53*10.38+0.38*10.806)/$H594</f>
      </c>
      <c r="N594" s="15"/>
      <c r="O594" s="16"/>
      <c r="P594" s="13"/>
      <c r="Q594" s="13"/>
      <c r="R594" s="17"/>
      <c r="S594" s="13"/>
      <c r="T594" s="17"/>
      <c r="U594" s="13"/>
      <c r="V594" s="16"/>
      <c r="W594" s="13"/>
      <c r="X594" s="13"/>
      <c r="Y594" s="14"/>
      <c r="Z594" s="2"/>
      <c r="AA594" s="13">
        <f>H594*I594/100</f>
      </c>
      <c r="AB594" s="13">
        <f>H594*J594/100</f>
      </c>
      <c r="AC594" s="15">
        <f>H594*K594</f>
      </c>
      <c r="AD594" s="15">
        <f>H594*M594</f>
      </c>
      <c r="AE594" s="13">
        <f>H594*L594/100</f>
      </c>
      <c r="AF594" s="13">
        <f>AA594+AB594+AE594</f>
      </c>
      <c r="AG594" s="13">
        <f>I594+J594+L594</f>
      </c>
      <c r="AH594" s="18">
        <f>$H594*I594</f>
      </c>
      <c r="AI594" s="18">
        <f>$H594*J594</f>
      </c>
      <c r="AJ594" s="18">
        <f>$H594*K594</f>
      </c>
      <c r="AK594" s="18">
        <f>$H594*L594</f>
      </c>
      <c r="AL594" s="18">
        <f>$H594*M594</f>
      </c>
      <c r="AM594" s="14"/>
      <c r="AN594" s="14"/>
      <c r="AO594" s="14"/>
    </row>
    <row x14ac:dyDescent="0.25" r="595" customHeight="1" ht="17.25">
      <c r="A595" s="2" t="s">
        <v>1195</v>
      </c>
      <c r="B595" s="2" t="s">
        <v>1166</v>
      </c>
      <c r="C595" s="2" t="s">
        <v>56</v>
      </c>
      <c r="D595" s="2"/>
      <c r="E595" s="2" t="s">
        <v>52</v>
      </c>
      <c r="F595" s="2" t="s">
        <v>1185</v>
      </c>
      <c r="G595" s="2" t="s">
        <v>1169</v>
      </c>
      <c r="H595" s="14">
        <v>16</v>
      </c>
      <c r="I595" s="13">
        <v>0.36</v>
      </c>
      <c r="J595" s="13">
        <v>3.08</v>
      </c>
      <c r="K595" s="14">
        <v>95</v>
      </c>
      <c r="L595" s="13">
        <v>0.69</v>
      </c>
      <c r="M595" s="13"/>
      <c r="N595" s="15"/>
      <c r="O595" s="16"/>
      <c r="P595" s="13"/>
      <c r="Q595" s="13"/>
      <c r="R595" s="17"/>
      <c r="S595" s="13"/>
      <c r="T595" s="17"/>
      <c r="U595" s="13"/>
      <c r="V595" s="16"/>
      <c r="W595" s="13"/>
      <c r="X595" s="13"/>
      <c r="Y595" s="14"/>
      <c r="Z595" s="2"/>
      <c r="AA595" s="13">
        <f>H595*I595/100</f>
      </c>
      <c r="AB595" s="13">
        <f>H595*J595/100</f>
      </c>
      <c r="AC595" s="15">
        <f>H595*K595</f>
      </c>
      <c r="AD595" s="15">
        <f>H595*M595</f>
      </c>
      <c r="AE595" s="13">
        <f>H595*L595/100</f>
      </c>
      <c r="AF595" s="13">
        <f>AA595+AB595+AE595</f>
      </c>
      <c r="AG595" s="13">
        <f>I595+J595+L595</f>
      </c>
      <c r="AH595" s="18">
        <f>$H595*I595</f>
      </c>
      <c r="AI595" s="18">
        <f>$H595*J595</f>
      </c>
      <c r="AJ595" s="18">
        <f>$H595*K595</f>
      </c>
      <c r="AK595" s="18">
        <f>$H595*L595</f>
      </c>
      <c r="AL595" s="18">
        <f>$H595*M595</f>
      </c>
      <c r="AM595" s="14"/>
      <c r="AN595" s="14"/>
      <c r="AO595" s="14"/>
    </row>
    <row x14ac:dyDescent="0.25" r="596" customHeight="1" ht="17.25">
      <c r="A596" s="2" t="s">
        <v>1196</v>
      </c>
      <c r="B596" s="2" t="s">
        <v>1166</v>
      </c>
      <c r="C596" s="2" t="s">
        <v>56</v>
      </c>
      <c r="D596" s="2"/>
      <c r="E596" s="2" t="s">
        <v>52</v>
      </c>
      <c r="F596" s="2" t="s">
        <v>1197</v>
      </c>
      <c r="G596" s="2" t="s">
        <v>293</v>
      </c>
      <c r="H596" s="13">
        <f>4.429+30.614+22.92</f>
      </c>
      <c r="I596" s="13">
        <f>(0.179*4.429+0.152*30.614+0.133*22.92)/$H596</f>
      </c>
      <c r="J596" s="13">
        <f>(0.277*4.429+0.244*30.614+0.22*22.92)/$H596</f>
      </c>
      <c r="K596" s="15">
        <f>(37.44*4.429+32.77*30.614+28.55*22.92)/$H596</f>
      </c>
      <c r="L596" s="13"/>
      <c r="M596" s="13">
        <f>(0.497*4.429+0.446*30.614+0.478*22.92)/$H596</f>
      </c>
      <c r="N596" s="15"/>
      <c r="O596" s="16"/>
      <c r="P596" s="13"/>
      <c r="Q596" s="13"/>
      <c r="R596" s="17"/>
      <c r="S596" s="13"/>
      <c r="T596" s="17"/>
      <c r="U596" s="13"/>
      <c r="V596" s="16"/>
      <c r="W596" s="13"/>
      <c r="X596" s="13"/>
      <c r="Y596" s="14"/>
      <c r="Z596" s="2"/>
      <c r="AA596" s="13">
        <f>H596*I596/100</f>
      </c>
      <c r="AB596" s="13">
        <f>H596*J596/100</f>
      </c>
      <c r="AC596" s="15">
        <f>H596*K596</f>
      </c>
      <c r="AD596" s="15">
        <f>H596*M596</f>
      </c>
      <c r="AE596" s="13">
        <f>H596*L596/100</f>
      </c>
      <c r="AF596" s="13">
        <f>AA596+AB596+AE596</f>
      </c>
      <c r="AG596" s="13">
        <f>I596+J596+L596</f>
      </c>
      <c r="AH596" s="18">
        <f>$H596*I596</f>
      </c>
      <c r="AI596" s="18">
        <f>$H596*J596</f>
      </c>
      <c r="AJ596" s="18">
        <f>$H596*K596</f>
      </c>
      <c r="AK596" s="18">
        <f>$H596*L596</f>
      </c>
      <c r="AL596" s="18">
        <f>$H596*M596</f>
      </c>
      <c r="AM596" s="14"/>
      <c r="AN596" s="14"/>
      <c r="AO596" s="14"/>
    </row>
    <row x14ac:dyDescent="0.25" r="597" customHeight="1" ht="17.25">
      <c r="A597" s="2" t="s">
        <v>1198</v>
      </c>
      <c r="B597" s="2" t="s">
        <v>1166</v>
      </c>
      <c r="C597" s="2" t="s">
        <v>159</v>
      </c>
      <c r="D597" s="2"/>
      <c r="E597" s="2" t="s">
        <v>52</v>
      </c>
      <c r="F597" s="2" t="s">
        <v>1199</v>
      </c>
      <c r="G597" s="2" t="s">
        <v>1200</v>
      </c>
      <c r="H597" s="13">
        <v>14.93</v>
      </c>
      <c r="I597" s="13">
        <v>2.55</v>
      </c>
      <c r="J597" s="13">
        <v>5.77</v>
      </c>
      <c r="K597" s="14">
        <v>117</v>
      </c>
      <c r="L597" s="13"/>
      <c r="M597" s="13">
        <v>0.23</v>
      </c>
      <c r="N597" s="15"/>
      <c r="O597" s="16"/>
      <c r="P597" s="13"/>
      <c r="Q597" s="13"/>
      <c r="R597" s="17"/>
      <c r="S597" s="13"/>
      <c r="T597" s="17"/>
      <c r="U597" s="13"/>
      <c r="V597" s="16"/>
      <c r="W597" s="13"/>
      <c r="X597" s="13"/>
      <c r="Y597" s="14"/>
      <c r="Z597" s="2"/>
      <c r="AA597" s="13">
        <f>H597*I597/100</f>
      </c>
      <c r="AB597" s="13">
        <f>H597*J597/100</f>
      </c>
      <c r="AC597" s="15">
        <f>H597*K597</f>
      </c>
      <c r="AD597" s="15">
        <f>H597*M597</f>
      </c>
      <c r="AE597" s="13">
        <f>H597*L597/100</f>
      </c>
      <c r="AF597" s="13">
        <f>AA597+AB597+AE597</f>
      </c>
      <c r="AG597" s="13">
        <f>I597+J597+L597</f>
      </c>
      <c r="AH597" s="18">
        <f>$H597*I597</f>
      </c>
      <c r="AI597" s="18">
        <f>$H597*J597</f>
      </c>
      <c r="AJ597" s="18">
        <f>$H597*K597</f>
      </c>
      <c r="AK597" s="18">
        <f>$H597*L597</f>
      </c>
      <c r="AL597" s="18">
        <f>$H597*M597</f>
      </c>
      <c r="AM597" s="14"/>
      <c r="AN597" s="14"/>
      <c r="AO597" s="14"/>
    </row>
    <row x14ac:dyDescent="0.25" r="598" customHeight="1" ht="17.25">
      <c r="A598" s="2" t="s">
        <v>1201</v>
      </c>
      <c r="B598" s="2" t="s">
        <v>1166</v>
      </c>
      <c r="C598" s="2" t="s">
        <v>68</v>
      </c>
      <c r="D598" s="2"/>
      <c r="E598" s="2" t="s">
        <v>52</v>
      </c>
      <c r="F598" s="2" t="s">
        <v>1202</v>
      </c>
      <c r="G598" s="2" t="s">
        <v>1203</v>
      </c>
      <c r="H598" s="13">
        <f>848.462+92.158</f>
      </c>
      <c r="I598" s="16">
        <f>(0.254*848.462+0.195*92.158)/$H598</f>
      </c>
      <c r="J598" s="16">
        <f>(0.479*848.462+0.327*92.158)/$H598</f>
      </c>
      <c r="K598" s="15">
        <f>(17.91*848.462+15*92.158)/$H598</f>
      </c>
      <c r="L598" s="13"/>
      <c r="M598" s="16">
        <f>(0.05*848.462+0.029*92.158)/$H598</f>
      </c>
      <c r="N598" s="15"/>
      <c r="O598" s="16"/>
      <c r="P598" s="13"/>
      <c r="Q598" s="13"/>
      <c r="R598" s="17"/>
      <c r="S598" s="13"/>
      <c r="T598" s="17"/>
      <c r="U598" s="13"/>
      <c r="V598" s="16"/>
      <c r="W598" s="13"/>
      <c r="X598" s="13"/>
      <c r="Y598" s="14"/>
      <c r="Z598" s="2"/>
      <c r="AA598" s="13">
        <f>H598*I598/100</f>
      </c>
      <c r="AB598" s="13">
        <f>H598*J598/100</f>
      </c>
      <c r="AC598" s="15">
        <f>H598*K598</f>
      </c>
      <c r="AD598" s="15">
        <f>H598*M598</f>
      </c>
      <c r="AE598" s="13">
        <f>H598*L598/100</f>
      </c>
      <c r="AF598" s="13">
        <f>AA598+AB598+AE598</f>
      </c>
      <c r="AG598" s="13">
        <f>I598+J598+L598</f>
      </c>
      <c r="AH598" s="18">
        <f>$H598*I598</f>
      </c>
      <c r="AI598" s="18">
        <f>$H598*J598</f>
      </c>
      <c r="AJ598" s="18">
        <f>$H598*K598</f>
      </c>
      <c r="AK598" s="18">
        <f>$H598*L598</f>
      </c>
      <c r="AL598" s="18">
        <f>$H598*M598</f>
      </c>
      <c r="AM598" s="14"/>
      <c r="AN598" s="14"/>
      <c r="AO598" s="14"/>
    </row>
    <row x14ac:dyDescent="0.25" r="599" customHeight="1" ht="17.25">
      <c r="A599" s="2" t="s">
        <v>1204</v>
      </c>
      <c r="B599" s="2" t="s">
        <v>1166</v>
      </c>
      <c r="C599" s="2" t="s">
        <v>1205</v>
      </c>
      <c r="D599" s="2" t="s">
        <v>1206</v>
      </c>
      <c r="E599" s="2" t="s">
        <v>52</v>
      </c>
      <c r="F599" s="2" t="s">
        <v>654</v>
      </c>
      <c r="G599" s="2" t="s">
        <v>73</v>
      </c>
      <c r="H599" s="13">
        <f>3.29+8.53+3.34+1.15+0.75</f>
      </c>
      <c r="I599" s="13">
        <f>(0.53*3.29+0.16*8.53+0.1*3.34+0.49*1.15+0.77*0.75)/$H599</f>
      </c>
      <c r="J599" s="13">
        <f>(1.44*3.29+0.98*8.53+0.91*3.34+3.64*1.15+3.62*0.75)/$H599</f>
      </c>
      <c r="K599" s="17">
        <f>(65*3.29+43*8.53+36*3.34+49.3*1.15+37.8*0.75)/$H599</f>
      </c>
      <c r="L599" s="13">
        <f>(1.57*3.29+1.43*8.53+1.39*3.34+0.33*1.15+0.13*0.75)/$H599</f>
      </c>
      <c r="M599" s="13"/>
      <c r="N599" s="15"/>
      <c r="O599" s="16"/>
      <c r="P599" s="13"/>
      <c r="Q599" s="13"/>
      <c r="R599" s="17"/>
      <c r="S599" s="13"/>
      <c r="T599" s="17"/>
      <c r="U599" s="13"/>
      <c r="V599" s="16"/>
      <c r="W599" s="13"/>
      <c r="X599" s="13"/>
      <c r="Y599" s="14"/>
      <c r="Z599" s="2"/>
      <c r="AA599" s="13">
        <f>H599*I599/100</f>
      </c>
      <c r="AB599" s="13">
        <f>H599*J599/100</f>
      </c>
      <c r="AC599" s="15">
        <f>H599*K599</f>
      </c>
      <c r="AD599" s="15">
        <f>H599*M599</f>
      </c>
      <c r="AE599" s="13">
        <f>H599*L599/100</f>
      </c>
      <c r="AF599" s="13">
        <f>AA599+AB599+AE599</f>
      </c>
      <c r="AG599" s="13">
        <f>I599+J599+L599</f>
      </c>
      <c r="AH599" s="18">
        <f>$H599*I599</f>
      </c>
      <c r="AI599" s="18">
        <f>$H599*J599</f>
      </c>
      <c r="AJ599" s="18">
        <f>$H599*K599</f>
      </c>
      <c r="AK599" s="18">
        <f>$H599*L599</f>
      </c>
      <c r="AL599" s="18">
        <f>$H599*M599</f>
      </c>
      <c r="AM599" s="14"/>
      <c r="AN599" s="14"/>
      <c r="AO599" s="14"/>
    </row>
    <row x14ac:dyDescent="0.25" r="600" customHeight="1" ht="17.25">
      <c r="A600" s="2" t="s">
        <v>1207</v>
      </c>
      <c r="B600" s="2" t="s">
        <v>1166</v>
      </c>
      <c r="C600" s="2" t="s">
        <v>56</v>
      </c>
      <c r="D600" s="2"/>
      <c r="E600" s="2" t="s">
        <v>52</v>
      </c>
      <c r="F600" s="2" t="s">
        <v>1183</v>
      </c>
      <c r="G600" s="2" t="s">
        <v>776</v>
      </c>
      <c r="H600" s="16">
        <f>1.765954+1.04368+0.782287+0.005314+0.595069+0.424732</f>
      </c>
      <c r="I600" s="13">
        <f>(0.147*1.765954+0.175*1.04368+0.49*0.782287+1.004*0.005314+0.048*0.595069+0.101*0.424732)/$H600</f>
      </c>
      <c r="J600" s="13">
        <f>(0.177*1.765954+0.093*1.04368+0.432*0.782287+1.612*0.005314+0.028*0.595069+0.141*0.424732)/$H600</f>
      </c>
      <c r="K600" s="15">
        <f>(123.08*1.765954+300.256*1.04368+123.513*0.782287+152.158*0.005314+194.76*0.595069+120.258*0.424732)/$H600</f>
      </c>
      <c r="L600" s="13"/>
      <c r="M600" s="16">
        <f>(0.028*1.765954+0.062*1.04368+0.118*0.782287+0.273*0.005314+0.093*0.595069+0.066*0.424732)/$H600</f>
      </c>
      <c r="N600" s="15"/>
      <c r="O600" s="16"/>
      <c r="P600" s="13"/>
      <c r="Q600" s="13"/>
      <c r="R600" s="17"/>
      <c r="S600" s="13"/>
      <c r="T600" s="17"/>
      <c r="U600" s="13"/>
      <c r="V600" s="16"/>
      <c r="W600" s="13"/>
      <c r="X600" s="13"/>
      <c r="Y600" s="14"/>
      <c r="Z600" s="2"/>
      <c r="AA600" s="13">
        <f>H600*I600/100</f>
      </c>
      <c r="AB600" s="13">
        <f>H600*J600/100</f>
      </c>
      <c r="AC600" s="15">
        <f>H600*K600</f>
      </c>
      <c r="AD600" s="15">
        <f>H600*M600</f>
      </c>
      <c r="AE600" s="13">
        <f>H600*L600/100</f>
      </c>
      <c r="AF600" s="13">
        <f>AA600+AB600+AE600</f>
      </c>
      <c r="AG600" s="13">
        <f>I600+J600+L600</f>
      </c>
      <c r="AH600" s="18">
        <f>$H600*I600</f>
      </c>
      <c r="AI600" s="18">
        <f>$H600*J600</f>
      </c>
      <c r="AJ600" s="18">
        <f>$H600*K600</f>
      </c>
      <c r="AK600" s="18">
        <f>$H600*L600</f>
      </c>
      <c r="AL600" s="18">
        <f>$H600*M600</f>
      </c>
      <c r="AM600" s="14"/>
      <c r="AN600" s="14"/>
      <c r="AO600" s="14"/>
    </row>
    <row x14ac:dyDescent="0.25" r="601" customHeight="1" ht="17.25">
      <c r="A601" s="2" t="s">
        <v>1208</v>
      </c>
      <c r="B601" s="2" t="s">
        <v>1166</v>
      </c>
      <c r="C601" s="2" t="s">
        <v>159</v>
      </c>
      <c r="D601" s="2"/>
      <c r="E601" s="2" t="s">
        <v>52</v>
      </c>
      <c r="F601" s="2" t="s">
        <v>1209</v>
      </c>
      <c r="G601" s="2" t="s">
        <v>617</v>
      </c>
      <c r="H601" s="16">
        <f>1.151831+2.890322+1.439486+0.842282+6.886886+4.181904</f>
      </c>
      <c r="I601" s="15">
        <f>(2.2*1.151831+3.9*2.890322+1.6*1.439486+3.6*0.842282+3.3*6.886886+0.2*4.181904)/$H601</f>
      </c>
      <c r="J601" s="15">
        <f>(2.2*1.151831+4*2.890322+1.4*1.439486+2*0.842282+4.6*6.886886+3.1*4.181904)/$H601</f>
      </c>
      <c r="K601" s="17">
        <f>(147*1.151831+219*2.890322+150*1.439486+173*0.842282+172*6.886886+7*4.181904)/$H601</f>
      </c>
      <c r="L601" s="13"/>
      <c r="M601" s="13">
        <f>(0.01*1.151831+0.14*2.890322+0.02*1.439486+0.03*0.842282+0.1*6.886886+0.01*4.181904)/$H601</f>
      </c>
      <c r="N601" s="15"/>
      <c r="O601" s="16"/>
      <c r="P601" s="13"/>
      <c r="Q601" s="13"/>
      <c r="R601" s="17"/>
      <c r="S601" s="13"/>
      <c r="T601" s="17"/>
      <c r="U601" s="13"/>
      <c r="V601" s="16"/>
      <c r="W601" s="13"/>
      <c r="X601" s="13"/>
      <c r="Y601" s="14"/>
      <c r="Z601" s="2"/>
      <c r="AA601" s="13">
        <f>H601*I601/100</f>
      </c>
      <c r="AB601" s="13">
        <f>H601*J601/100</f>
      </c>
      <c r="AC601" s="15">
        <f>H601*K601</f>
      </c>
      <c r="AD601" s="15">
        <f>H601*M601</f>
      </c>
      <c r="AE601" s="13">
        <f>H601*L601/100</f>
      </c>
      <c r="AF601" s="13">
        <f>AA601+AB601+AE601</f>
      </c>
      <c r="AG601" s="13">
        <f>I601+J601+L601</f>
      </c>
      <c r="AH601" s="18">
        <f>$H601*I601</f>
      </c>
      <c r="AI601" s="18">
        <f>$H601*J601</f>
      </c>
      <c r="AJ601" s="18">
        <f>$H601*K601</f>
      </c>
      <c r="AK601" s="18">
        <f>$H601*L601</f>
      </c>
      <c r="AL601" s="18">
        <f>$H601*M601</f>
      </c>
      <c r="AM601" s="14"/>
      <c r="AN601" s="14"/>
      <c r="AO601" s="14"/>
    </row>
    <row x14ac:dyDescent="0.25" r="602" customHeight="1" ht="17.25">
      <c r="A602" s="2" t="s">
        <v>1210</v>
      </c>
      <c r="B602" s="2" t="s">
        <v>1166</v>
      </c>
      <c r="C602" s="21" t="s">
        <v>1211</v>
      </c>
      <c r="D602" s="2"/>
      <c r="E602" s="21" t="s">
        <v>1212</v>
      </c>
      <c r="F602" s="2" t="s">
        <v>1213</v>
      </c>
      <c r="G602" s="2" t="s">
        <v>1214</v>
      </c>
      <c r="H602" s="14">
        <v>1</v>
      </c>
      <c r="I602" s="13"/>
      <c r="J602" s="13">
        <v>2.3</v>
      </c>
      <c r="K602" s="14">
        <v>21</v>
      </c>
      <c r="L602" s="13">
        <v>0.4</v>
      </c>
      <c r="M602" s="13"/>
      <c r="N602" s="15"/>
      <c r="O602" s="16"/>
      <c r="P602" s="13"/>
      <c r="Q602" s="13"/>
      <c r="R602" s="17"/>
      <c r="S602" s="13"/>
      <c r="T602" s="17"/>
      <c r="U602" s="13"/>
      <c r="V602" s="16"/>
      <c r="W602" s="13"/>
      <c r="X602" s="13"/>
      <c r="Y602" s="14"/>
      <c r="Z602" s="2"/>
      <c r="AA602" s="13">
        <f>H602*I602/100</f>
      </c>
      <c r="AB602" s="13">
        <f>H602*J602/100</f>
      </c>
      <c r="AC602" s="15">
        <f>H602*K602</f>
      </c>
      <c r="AD602" s="15">
        <f>H602*M602</f>
      </c>
      <c r="AE602" s="13">
        <f>H602*L602/100</f>
      </c>
      <c r="AF602" s="13">
        <f>AA602+AB602+AE602</f>
      </c>
      <c r="AG602" s="13">
        <f>I602+J602+L602</f>
      </c>
      <c r="AH602" s="18">
        <f>$H602*I602</f>
      </c>
      <c r="AI602" s="18">
        <f>$H602*J602</f>
      </c>
      <c r="AJ602" s="18">
        <f>$H602*K602</f>
      </c>
      <c r="AK602" s="18">
        <f>$H602*L602</f>
      </c>
      <c r="AL602" s="18">
        <f>$H602*M602</f>
      </c>
      <c r="AM602" s="14"/>
      <c r="AN602" s="14"/>
      <c r="AO602" s="14"/>
    </row>
    <row x14ac:dyDescent="0.25" r="603" customHeight="1" ht="17.25">
      <c r="A603" s="2" t="s">
        <v>1215</v>
      </c>
      <c r="B603" s="2" t="s">
        <v>1166</v>
      </c>
      <c r="C603" s="2" t="s">
        <v>159</v>
      </c>
      <c r="D603" s="2"/>
      <c r="E603" s="2" t="s">
        <v>52</v>
      </c>
      <c r="F603" s="2" t="s">
        <v>1177</v>
      </c>
      <c r="G603" s="2" t="s">
        <v>108</v>
      </c>
      <c r="H603" s="13">
        <v>47.225</v>
      </c>
      <c r="I603" s="13">
        <v>0.74</v>
      </c>
      <c r="J603" s="13">
        <v>2.17</v>
      </c>
      <c r="K603" s="15">
        <v>20.73</v>
      </c>
      <c r="L603" s="13">
        <v>0.07</v>
      </c>
      <c r="M603" s="13"/>
      <c r="N603" s="15"/>
      <c r="O603" s="16"/>
      <c r="P603" s="13"/>
      <c r="Q603" s="13"/>
      <c r="R603" s="17"/>
      <c r="S603" s="13"/>
      <c r="T603" s="17"/>
      <c r="U603" s="13"/>
      <c r="V603" s="16"/>
      <c r="W603" s="13"/>
      <c r="X603" s="13"/>
      <c r="Y603" s="14"/>
      <c r="Z603" s="2"/>
      <c r="AA603" s="13">
        <f>H603*I603/100</f>
      </c>
      <c r="AB603" s="13">
        <f>H603*J603/100</f>
      </c>
      <c r="AC603" s="15">
        <f>H603*K603</f>
      </c>
      <c r="AD603" s="15">
        <f>H603*M603</f>
      </c>
      <c r="AE603" s="13">
        <f>H603*L603/100</f>
      </c>
      <c r="AF603" s="13">
        <f>AA603+AB603+AE603</f>
      </c>
      <c r="AG603" s="13">
        <f>I603+J603+L603</f>
      </c>
      <c r="AH603" s="18">
        <f>$H603*I603</f>
      </c>
      <c r="AI603" s="18">
        <f>$H603*J603</f>
      </c>
      <c r="AJ603" s="18">
        <f>$H603*K603</f>
      </c>
      <c r="AK603" s="18">
        <f>$H603*L603</f>
      </c>
      <c r="AL603" s="18">
        <f>$H603*M603</f>
      </c>
      <c r="AM603" s="14"/>
      <c r="AN603" s="14"/>
      <c r="AO603" s="14"/>
    </row>
    <row x14ac:dyDescent="0.25" r="604" customHeight="1" ht="17.25">
      <c r="A604" s="2" t="s">
        <v>1216</v>
      </c>
      <c r="B604" s="2" t="s">
        <v>1166</v>
      </c>
      <c r="C604" s="2" t="s">
        <v>56</v>
      </c>
      <c r="D604" s="2" t="s">
        <v>937</v>
      </c>
      <c r="E604" s="2" t="s">
        <v>52</v>
      </c>
      <c r="F604" s="2" t="s">
        <v>1217</v>
      </c>
      <c r="G604" s="2" t="s">
        <v>108</v>
      </c>
      <c r="H604" s="13">
        <f>8.605+12.664+0.03</f>
      </c>
      <c r="I604" s="13">
        <f>(0.67*8.605+0.47*12.664+0.09*0.03)/$H604</f>
      </c>
      <c r="J604" s="13">
        <f>(1.61*8.605+1.29*12.664+2.1*0.03)/$H604</f>
      </c>
      <c r="K604" s="17">
        <f>(267*8.605+136*12.664+46*0.03)/$H604</f>
      </c>
      <c r="L604" s="13"/>
      <c r="M604" s="13">
        <f>(0.09*8.605+0.06*12.664+0.05*0.03)/$H604</f>
      </c>
      <c r="N604" s="15"/>
      <c r="O604" s="16"/>
      <c r="P604" s="13"/>
      <c r="Q604" s="13"/>
      <c r="R604" s="17"/>
      <c r="S604" s="13"/>
      <c r="T604" s="17"/>
      <c r="U604" s="13"/>
      <c r="V604" s="16"/>
      <c r="W604" s="13"/>
      <c r="X604" s="13"/>
      <c r="Y604" s="14"/>
      <c r="Z604" s="2"/>
      <c r="AA604" s="13">
        <f>H604*I604/100</f>
      </c>
      <c r="AB604" s="13">
        <f>H604*J604/100</f>
      </c>
      <c r="AC604" s="15">
        <f>H604*K604</f>
      </c>
      <c r="AD604" s="15">
        <f>H604*M604</f>
      </c>
      <c r="AE604" s="13">
        <f>H604*L604/100</f>
      </c>
      <c r="AF604" s="13">
        <f>AA604+AB604+AE604</f>
      </c>
      <c r="AG604" s="13">
        <f>I604+J604+L604</f>
      </c>
      <c r="AH604" s="18">
        <f>$H604*I604</f>
      </c>
      <c r="AI604" s="18">
        <f>$H604*J604</f>
      </c>
      <c r="AJ604" s="18">
        <f>$H604*K604</f>
      </c>
      <c r="AK604" s="18">
        <f>$H604*L604</f>
      </c>
      <c r="AL604" s="18">
        <f>$H604*M604</f>
      </c>
      <c r="AM604" s="14"/>
      <c r="AN604" s="14"/>
      <c r="AO604" s="14"/>
    </row>
    <row x14ac:dyDescent="0.25" r="605" customHeight="1" ht="17.25">
      <c r="A605" s="2" t="s">
        <v>1218</v>
      </c>
      <c r="B605" s="2" t="s">
        <v>1166</v>
      </c>
      <c r="C605" s="2" t="s">
        <v>56</v>
      </c>
      <c r="D605" s="2"/>
      <c r="E605" s="2" t="s">
        <v>52</v>
      </c>
      <c r="F605" s="2" t="s">
        <v>1219</v>
      </c>
      <c r="G605" s="2" t="s">
        <v>708</v>
      </c>
      <c r="H605" s="13">
        <f>1.012+3.468</f>
      </c>
      <c r="I605" s="15">
        <f>(1.2*1.012+1.2*3.468)/$H605</f>
      </c>
      <c r="J605" s="15">
        <f>(4.1*1.012+4.1*3.468)/$H605</f>
      </c>
      <c r="K605" s="17">
        <f>(280*1.012+190*3.468)/$H605</f>
      </c>
      <c r="L605" s="13">
        <f>(0.39*1.012+0.3*3.468)/$H605</f>
      </c>
      <c r="M605" s="15">
        <f>(3.2*1.012+1.8*3.468)/$H605</f>
      </c>
      <c r="N605" s="15"/>
      <c r="O605" s="16"/>
      <c r="P605" s="13"/>
      <c r="Q605" s="13"/>
      <c r="R605" s="17"/>
      <c r="S605" s="13"/>
      <c r="T605" s="17"/>
      <c r="U605" s="13"/>
      <c r="V605" s="16"/>
      <c r="W605" s="13"/>
      <c r="X605" s="13"/>
      <c r="Y605" s="14"/>
      <c r="Z605" s="2"/>
      <c r="AA605" s="13">
        <f>H605*I605/100</f>
      </c>
      <c r="AB605" s="13">
        <f>H605*J605/100</f>
      </c>
      <c r="AC605" s="15">
        <f>H605*K605</f>
      </c>
      <c r="AD605" s="15">
        <f>H605*M605</f>
      </c>
      <c r="AE605" s="13">
        <f>H605*L605/100</f>
      </c>
      <c r="AF605" s="13">
        <f>AA605+AB605+AE605</f>
      </c>
      <c r="AG605" s="13">
        <f>I605+J605+L605</f>
      </c>
      <c r="AH605" s="18">
        <f>$H605*I605</f>
      </c>
      <c r="AI605" s="18">
        <f>$H605*J605</f>
      </c>
      <c r="AJ605" s="18">
        <f>$H605*K605</f>
      </c>
      <c r="AK605" s="18">
        <f>$H605*L605</f>
      </c>
      <c r="AL605" s="18">
        <f>$H605*M605</f>
      </c>
      <c r="AM605" s="14"/>
      <c r="AN605" s="14"/>
      <c r="AO605" s="14"/>
    </row>
    <row x14ac:dyDescent="0.25" r="606" customHeight="1" ht="17.25">
      <c r="A606" s="2" t="s">
        <v>1220</v>
      </c>
      <c r="B606" s="2" t="s">
        <v>1166</v>
      </c>
      <c r="C606" s="2" t="s">
        <v>56</v>
      </c>
      <c r="D606" s="2" t="s">
        <v>75</v>
      </c>
      <c r="E606" s="2" t="s">
        <v>52</v>
      </c>
      <c r="F606" s="2" t="s">
        <v>72</v>
      </c>
      <c r="G606" s="2" t="s">
        <v>73</v>
      </c>
      <c r="H606" s="13">
        <f>2.4+4.1+0.4+1.7+2.9</f>
      </c>
      <c r="I606" s="13">
        <f>(1.35*2.4+1.3*4.1+0.4*0.4+0.51*1.7+1.34*2.9)/$H606</f>
      </c>
      <c r="J606" s="13">
        <f>(2.47*2.4+2.35*4.1+0.65*0.4+0.83*1.7+2.17*2.9)/$H606</f>
      </c>
      <c r="K606" s="17">
        <f>(406*2.4+378*4.1+164*0.4+255*1.7+265*2.9)/$H606</f>
      </c>
      <c r="L606" s="13"/>
      <c r="M606" s="13">
        <f>(0.31*2.4+0.39*4.1+0.15*0.4+0.29*1.7+0.42*2.9)/$H606</f>
      </c>
      <c r="N606" s="15"/>
      <c r="O606" s="16"/>
      <c r="P606" s="13"/>
      <c r="Q606" s="13"/>
      <c r="R606" s="17"/>
      <c r="S606" s="13"/>
      <c r="T606" s="17"/>
      <c r="U606" s="13"/>
      <c r="V606" s="16"/>
      <c r="W606" s="13"/>
      <c r="X606" s="13"/>
      <c r="Y606" s="14"/>
      <c r="Z606" s="2"/>
      <c r="AA606" s="13">
        <f>H606*I606/100</f>
      </c>
      <c r="AB606" s="13">
        <f>H606*J606/100</f>
      </c>
      <c r="AC606" s="15">
        <f>H606*K606</f>
      </c>
      <c r="AD606" s="15">
        <f>H606*M606</f>
      </c>
      <c r="AE606" s="13">
        <f>H606*L606/100</f>
      </c>
      <c r="AF606" s="13">
        <f>AA606+AB606+AE606</f>
      </c>
      <c r="AG606" s="13">
        <f>I606+J606+L606</f>
      </c>
      <c r="AH606" s="18">
        <f>$H606*I606</f>
      </c>
      <c r="AI606" s="18">
        <f>$H606*J606</f>
      </c>
      <c r="AJ606" s="18">
        <f>$H606*K606</f>
      </c>
      <c r="AK606" s="18">
        <f>$H606*L606</f>
      </c>
      <c r="AL606" s="18">
        <f>$H606*M606</f>
      </c>
      <c r="AM606" s="14"/>
      <c r="AN606" s="14"/>
      <c r="AO606" s="14"/>
    </row>
    <row x14ac:dyDescent="0.25" r="607" customHeight="1" ht="17.25">
      <c r="A607" s="2" t="s">
        <v>1221</v>
      </c>
      <c r="B607" s="2" t="s">
        <v>1166</v>
      </c>
      <c r="C607" s="2" t="s">
        <v>40</v>
      </c>
      <c r="D607" s="2" t="s">
        <v>41</v>
      </c>
      <c r="E607" s="2" t="s">
        <v>52</v>
      </c>
      <c r="F607" s="2" t="s">
        <v>1209</v>
      </c>
      <c r="G607" s="2" t="s">
        <v>617</v>
      </c>
      <c r="H607" s="16">
        <f>1.023409+1.030341+3.185423+4.348724</f>
      </c>
      <c r="I607" s="15">
        <f>(2.9*1.023409+2.6*1.030341+1.6*3.185423+1.1*4.348724)/$H607</f>
      </c>
      <c r="J607" s="15">
        <f>(1.6*1.023409+1.2*1.030341+4.4*3.185423+1.5*4.348724)/$H607</f>
      </c>
      <c r="K607" s="17">
        <f>(316*1.023409+269*1.030341+213*3.185423+156*4.348724)/$H607</f>
      </c>
      <c r="L607" s="13"/>
      <c r="M607" s="13"/>
      <c r="N607" s="15"/>
      <c r="O607" s="16"/>
      <c r="P607" s="13"/>
      <c r="Q607" s="13"/>
      <c r="R607" s="17"/>
      <c r="S607" s="13"/>
      <c r="T607" s="17"/>
      <c r="U607" s="13"/>
      <c r="V607" s="16"/>
      <c r="W607" s="13"/>
      <c r="X607" s="13"/>
      <c r="Y607" s="14"/>
      <c r="Z607" s="2"/>
      <c r="AA607" s="13">
        <f>H607*I607/100</f>
      </c>
      <c r="AB607" s="13">
        <f>H607*J607/100</f>
      </c>
      <c r="AC607" s="15">
        <f>H607*K607</f>
      </c>
      <c r="AD607" s="15">
        <f>H607*M607</f>
      </c>
      <c r="AE607" s="13">
        <f>H607*L607/100</f>
      </c>
      <c r="AF607" s="13">
        <f>AA607+AB607+AE607</f>
      </c>
      <c r="AG607" s="13">
        <f>I607+J607+L607</f>
      </c>
      <c r="AH607" s="18">
        <f>$H607*I607</f>
      </c>
      <c r="AI607" s="18">
        <f>$H607*J607</f>
      </c>
      <c r="AJ607" s="18">
        <f>$H607*K607</f>
      </c>
      <c r="AK607" s="18">
        <f>$H607*L607</f>
      </c>
      <c r="AL607" s="18">
        <f>$H607*M607</f>
      </c>
      <c r="AM607" s="14"/>
      <c r="AN607" s="14"/>
      <c r="AO607" s="14"/>
    </row>
    <row x14ac:dyDescent="0.25" r="608" customHeight="1" ht="17.25">
      <c r="A608" s="2" t="s">
        <v>1222</v>
      </c>
      <c r="B608" s="2" t="s">
        <v>1166</v>
      </c>
      <c r="C608" s="2" t="s">
        <v>926</v>
      </c>
      <c r="D608" s="2" t="s">
        <v>41</v>
      </c>
      <c r="E608" s="21" t="s">
        <v>198</v>
      </c>
      <c r="F608" s="2" t="s">
        <v>1209</v>
      </c>
      <c r="G608" s="2" t="s">
        <v>617</v>
      </c>
      <c r="H608" s="16">
        <f>5.304946</f>
      </c>
      <c r="I608" s="15">
        <f>(0.6*5.304946)/$H608</f>
      </c>
      <c r="J608" s="15">
        <f>(0.2*5.304946)/$H608</f>
      </c>
      <c r="K608" s="17">
        <f>(105*5.304946)/$H608</f>
      </c>
      <c r="L608" s="13"/>
      <c r="M608" s="13"/>
      <c r="N608" s="15"/>
      <c r="O608" s="16"/>
      <c r="P608" s="13"/>
      <c r="Q608" s="13"/>
      <c r="R608" s="17"/>
      <c r="S608" s="13"/>
      <c r="T608" s="17"/>
      <c r="U608" s="13"/>
      <c r="V608" s="16"/>
      <c r="W608" s="13"/>
      <c r="X608" s="13"/>
      <c r="Y608" s="14"/>
      <c r="Z608" s="2"/>
      <c r="AA608" s="13">
        <f>H608*I608/100</f>
      </c>
      <c r="AB608" s="13">
        <f>H608*J608/100</f>
      </c>
      <c r="AC608" s="15">
        <f>H608*K608</f>
      </c>
      <c r="AD608" s="15">
        <f>H608*M608</f>
      </c>
      <c r="AE608" s="13">
        <f>H608*L608/100</f>
      </c>
      <c r="AF608" s="13">
        <f>AA608+AB608+AE608</f>
      </c>
      <c r="AG608" s="13">
        <f>I608+J608+L608</f>
      </c>
      <c r="AH608" s="18">
        <f>$H608*I608</f>
      </c>
      <c r="AI608" s="18">
        <f>$H608*J608</f>
      </c>
      <c r="AJ608" s="18">
        <f>$H608*K608</f>
      </c>
      <c r="AK608" s="18">
        <f>$H608*L608</f>
      </c>
      <c r="AL608" s="18">
        <f>$H608*M608</f>
      </c>
      <c r="AM608" s="14"/>
      <c r="AN608" s="14"/>
      <c r="AO608" s="14"/>
    </row>
    <row x14ac:dyDescent="0.25" r="609" customHeight="1" ht="17.25">
      <c r="A609" s="2" t="s">
        <v>1223</v>
      </c>
      <c r="B609" s="2" t="s">
        <v>1166</v>
      </c>
      <c r="C609" s="2" t="s">
        <v>56</v>
      </c>
      <c r="D609" s="2"/>
      <c r="E609" s="2" t="s">
        <v>52</v>
      </c>
      <c r="F609" s="2" t="s">
        <v>1209</v>
      </c>
      <c r="G609" s="2" t="s">
        <v>1224</v>
      </c>
      <c r="H609" s="13">
        <f>0.583+0.534</f>
      </c>
      <c r="I609" s="13">
        <f>(0.869*0.583+0.923*0.534)/$H609</f>
      </c>
      <c r="J609" s="13">
        <f>(2.44*0.583+2.62*0.534)/$H609</f>
      </c>
      <c r="K609" s="15">
        <f>(250.5*0.583+224.9*0.534)/$H609</f>
      </c>
      <c r="L609" s="16">
        <f>(0.092*0.583+0.089*0.534)/$H609</f>
      </c>
      <c r="M609" s="13">
        <f>(0.17*0.583+0.178*0.534)/$H609</f>
      </c>
      <c r="N609" s="15"/>
      <c r="O609" s="16"/>
      <c r="P609" s="13"/>
      <c r="Q609" s="13"/>
      <c r="R609" s="17"/>
      <c r="S609" s="13"/>
      <c r="T609" s="17"/>
      <c r="U609" s="13"/>
      <c r="V609" s="16"/>
      <c r="W609" s="13"/>
      <c r="X609" s="13"/>
      <c r="Y609" s="14"/>
      <c r="Z609" s="2"/>
      <c r="AA609" s="13">
        <f>H609*I609/100</f>
      </c>
      <c r="AB609" s="13">
        <f>H609*J609/100</f>
      </c>
      <c r="AC609" s="15">
        <f>H609*K609</f>
      </c>
      <c r="AD609" s="15">
        <f>H609*M609</f>
      </c>
      <c r="AE609" s="13">
        <f>H609*L609/100</f>
      </c>
      <c r="AF609" s="13">
        <f>AA609+AB609+AE609</f>
      </c>
      <c r="AG609" s="13">
        <f>I609+J609+L609</f>
      </c>
      <c r="AH609" s="18">
        <f>$H609*I609</f>
      </c>
      <c r="AI609" s="18">
        <f>$H609*J609</f>
      </c>
      <c r="AJ609" s="18">
        <f>$H609*K609</f>
      </c>
      <c r="AK609" s="18">
        <f>$H609*L609</f>
      </c>
      <c r="AL609" s="18">
        <f>$H609*M609</f>
      </c>
      <c r="AM609" s="14"/>
      <c r="AN609" s="14"/>
      <c r="AO609" s="14"/>
    </row>
    <row x14ac:dyDescent="0.25" r="610" customHeight="1" ht="17.25">
      <c r="A610" s="2" t="s">
        <v>1225</v>
      </c>
      <c r="B610" s="2" t="s">
        <v>1166</v>
      </c>
      <c r="C610" s="2" t="s">
        <v>159</v>
      </c>
      <c r="D610" s="2"/>
      <c r="E610" s="2" t="s">
        <v>52</v>
      </c>
      <c r="F610" s="2" t="s">
        <v>1226</v>
      </c>
      <c r="G610" s="2" t="s">
        <v>628</v>
      </c>
      <c r="H610" s="13">
        <f>11.862+15.159+13.278</f>
      </c>
      <c r="I610" s="13">
        <f>(0.9*11.862+0.92*15.159+0.88*13.278)/$H610</f>
      </c>
      <c r="J610" s="13">
        <f>(2.6*11.862+2.19*15.159+2.14*13.278)/$H610</f>
      </c>
      <c r="K610" s="15">
        <f>(133.42*11.862+130.12*15.159+126.05*13.278)/$H610</f>
      </c>
      <c r="L610" s="13">
        <f>(0.5*11.862+0.41*15.159+0.42*13.278)/$H610</f>
      </c>
      <c r="M610" s="13"/>
      <c r="N610" s="15"/>
      <c r="O610" s="16"/>
      <c r="P610" s="13"/>
      <c r="Q610" s="13"/>
      <c r="R610" s="17"/>
      <c r="S610" s="13"/>
      <c r="T610" s="17"/>
      <c r="U610" s="13"/>
      <c r="V610" s="16"/>
      <c r="W610" s="13"/>
      <c r="X610" s="13"/>
      <c r="Y610" s="14"/>
      <c r="Z610" s="2"/>
      <c r="AA610" s="13">
        <f>H610*I610/100</f>
      </c>
      <c r="AB610" s="13">
        <f>H610*J610/100</f>
      </c>
      <c r="AC610" s="15">
        <f>H610*K610</f>
      </c>
      <c r="AD610" s="15">
        <f>H610*M610</f>
      </c>
      <c r="AE610" s="13">
        <f>H610*L610/100</f>
      </c>
      <c r="AF610" s="13">
        <f>AA610+AB610+AE610</f>
      </c>
      <c r="AG610" s="13">
        <f>I610+J610+L610</f>
      </c>
      <c r="AH610" s="18">
        <f>$H610*I610</f>
      </c>
      <c r="AI610" s="18">
        <f>$H610*J610</f>
      </c>
      <c r="AJ610" s="18">
        <f>$H610*K610</f>
      </c>
      <c r="AK610" s="18">
        <f>$H610*L610</f>
      </c>
      <c r="AL610" s="18">
        <f>$H610*M610</f>
      </c>
      <c r="AM610" s="14"/>
      <c r="AN610" s="14"/>
      <c r="AO610" s="14"/>
    </row>
    <row x14ac:dyDescent="0.25" r="611" customHeight="1" ht="17.25">
      <c r="A611" s="2" t="s">
        <v>1227</v>
      </c>
      <c r="B611" s="2" t="s">
        <v>1166</v>
      </c>
      <c r="C611" s="2" t="s">
        <v>159</v>
      </c>
      <c r="D611" s="2"/>
      <c r="E611" s="2" t="s">
        <v>52</v>
      </c>
      <c r="F611" s="2" t="s">
        <v>1209</v>
      </c>
      <c r="G611" s="2" t="s">
        <v>617</v>
      </c>
      <c r="H611" s="16">
        <f>2.05717+2.134451+1.134326+0.576248+13.254005</f>
      </c>
      <c r="I611" s="15">
        <f>(0.3*2.05717+1.9*2.134451+0.2*1.134326+1.5*0.576248+1.3*13.254005)/$H611</f>
      </c>
      <c r="J611" s="15">
        <f>(0.3*2.05717+2.7*2.134451+0.1*1.134326+1.4*0.576248+1.5*13.254005)/$H611</f>
      </c>
      <c r="K611" s="17">
        <f>(157*2.05717+186*2.134451+123*1.134326+185*0.576248+172*13.254005)/$H611</f>
      </c>
      <c r="L611" s="13"/>
      <c r="M611" s="13">
        <f>(0*2.05717+0*2.134451+0*1.134326+0*0.576248+0.02*13.254005)/$H611</f>
      </c>
      <c r="N611" s="15"/>
      <c r="O611" s="16"/>
      <c r="P611" s="13"/>
      <c r="Q611" s="13"/>
      <c r="R611" s="17"/>
      <c r="S611" s="13"/>
      <c r="T611" s="17"/>
      <c r="U611" s="13"/>
      <c r="V611" s="16"/>
      <c r="W611" s="13"/>
      <c r="X611" s="13"/>
      <c r="Y611" s="14"/>
      <c r="Z611" s="2"/>
      <c r="AA611" s="13">
        <f>H611*I611/100</f>
      </c>
      <c r="AB611" s="13">
        <f>H611*J611/100</f>
      </c>
      <c r="AC611" s="15">
        <f>H611*K611</f>
      </c>
      <c r="AD611" s="15">
        <f>H611*M611</f>
      </c>
      <c r="AE611" s="13">
        <f>H611*L611/100</f>
      </c>
      <c r="AF611" s="13">
        <f>AA611+AB611+AE611</f>
      </c>
      <c r="AG611" s="13">
        <f>I611+J611+L611</f>
      </c>
      <c r="AH611" s="18">
        <f>$H611*I611</f>
      </c>
      <c r="AI611" s="18">
        <f>$H611*J611</f>
      </c>
      <c r="AJ611" s="18">
        <f>$H611*K611</f>
      </c>
      <c r="AK611" s="18">
        <f>$H611*L611</f>
      </c>
      <c r="AL611" s="18">
        <f>$H611*M611</f>
      </c>
      <c r="AM611" s="14"/>
      <c r="AN611" s="14"/>
      <c r="AO611" s="14"/>
    </row>
    <row x14ac:dyDescent="0.25" r="612" customHeight="1" ht="17.25">
      <c r="A612" s="2" t="s">
        <v>1228</v>
      </c>
      <c r="B612" s="2" t="s">
        <v>1166</v>
      </c>
      <c r="C612" s="2" t="s">
        <v>56</v>
      </c>
      <c r="D612" s="2"/>
      <c r="E612" s="2" t="s">
        <v>52</v>
      </c>
      <c r="F612" s="2" t="s">
        <v>1229</v>
      </c>
      <c r="G612" s="2" t="s">
        <v>1230</v>
      </c>
      <c r="H612" s="13">
        <f>6.37+19.12</f>
      </c>
      <c r="I612" s="15">
        <f>(1.7*6.37+1.2*19.12)/$H612</f>
      </c>
      <c r="J612" s="15">
        <f>(3.7*6.37+2.4*19.12)/$H612</f>
      </c>
      <c r="K612" s="17">
        <f>(167*6.37+99*19.12)/$H612</f>
      </c>
      <c r="L612" s="15">
        <f>(0.1*6.37+0.1*19.12)/$H612</f>
      </c>
      <c r="M612" s="13">
        <f>(0.27*6.37+0.13*19.12)/$H612</f>
      </c>
      <c r="N612" s="15"/>
      <c r="O612" s="16"/>
      <c r="P612" s="13"/>
      <c r="Q612" s="13"/>
      <c r="R612" s="17"/>
      <c r="S612" s="13"/>
      <c r="T612" s="17"/>
      <c r="U612" s="13"/>
      <c r="V612" s="16"/>
      <c r="W612" s="13"/>
      <c r="X612" s="13"/>
      <c r="Y612" s="14"/>
      <c r="Z612" s="2"/>
      <c r="AA612" s="13">
        <f>H612*I612/100</f>
      </c>
      <c r="AB612" s="13">
        <f>H612*J612/100</f>
      </c>
      <c r="AC612" s="15">
        <f>H612*K612</f>
      </c>
      <c r="AD612" s="15">
        <f>H612*M612</f>
      </c>
      <c r="AE612" s="13">
        <f>H612*L612/100</f>
      </c>
      <c r="AF612" s="13">
        <f>AA612+AB612+AE612</f>
      </c>
      <c r="AG612" s="13">
        <f>I612+J612+L612</f>
      </c>
      <c r="AH612" s="18">
        <f>$H612*I612</f>
      </c>
      <c r="AI612" s="18">
        <f>$H612*J612</f>
      </c>
      <c r="AJ612" s="18">
        <f>$H612*K612</f>
      </c>
      <c r="AK612" s="18">
        <f>$H612*L612</f>
      </c>
      <c r="AL612" s="18">
        <f>$H612*M612</f>
      </c>
      <c r="AM612" s="14"/>
      <c r="AN612" s="14"/>
      <c r="AO612" s="14"/>
    </row>
    <row x14ac:dyDescent="0.25" r="613" customHeight="1" ht="17.25">
      <c r="A613" s="2" t="s">
        <v>1231</v>
      </c>
      <c r="B613" s="2" t="s">
        <v>1166</v>
      </c>
      <c r="C613" s="2" t="s">
        <v>159</v>
      </c>
      <c r="D613" s="2"/>
      <c r="E613" s="2" t="s">
        <v>52</v>
      </c>
      <c r="F613" s="2" t="s">
        <v>1232</v>
      </c>
      <c r="G613" s="2" t="s">
        <v>293</v>
      </c>
      <c r="H613" s="16">
        <f>0.344832+0.834527+0.067557</f>
      </c>
      <c r="I613" s="13"/>
      <c r="J613" s="13">
        <f>(0.179*0.344832+0.153*0.834527+0.088*0.067557)/$H613</f>
      </c>
      <c r="K613" s="15">
        <f>(15.9*0.344832+12.8*0.834527+9.7*0.067557)/$H613</f>
      </c>
      <c r="L613" s="13"/>
      <c r="M613" s="13">
        <f>(0.601*0.344832+0.46*0.834527+0.543*0.067557)/$H613</f>
      </c>
      <c r="N613" s="15"/>
      <c r="O613" s="16"/>
      <c r="P613" s="13"/>
      <c r="Q613" s="13"/>
      <c r="R613" s="17"/>
      <c r="S613" s="13"/>
      <c r="T613" s="17"/>
      <c r="U613" s="13"/>
      <c r="V613" s="16"/>
      <c r="W613" s="13"/>
      <c r="X613" s="13"/>
      <c r="Y613" s="14"/>
      <c r="Z613" s="2"/>
      <c r="AA613" s="13">
        <f>H613*I613/100</f>
      </c>
      <c r="AB613" s="13">
        <f>H613*J613/100</f>
      </c>
      <c r="AC613" s="15">
        <f>H613*K613</f>
      </c>
      <c r="AD613" s="15">
        <f>H613*M613</f>
      </c>
      <c r="AE613" s="13">
        <f>H613*L613/100</f>
      </c>
      <c r="AF613" s="13">
        <f>AA613+AB613+AE613</f>
      </c>
      <c r="AG613" s="13">
        <f>I613+J613+L613</f>
      </c>
      <c r="AH613" s="18">
        <f>$H613*I613</f>
      </c>
      <c r="AI613" s="18">
        <f>$H613*J613</f>
      </c>
      <c r="AJ613" s="18">
        <f>$H613*K613</f>
      </c>
      <c r="AK613" s="18">
        <f>$H613*L613</f>
      </c>
      <c r="AL613" s="18">
        <f>$H613*M613</f>
      </c>
      <c r="AM613" s="14"/>
      <c r="AN613" s="14"/>
      <c r="AO613" s="14"/>
    </row>
    <row x14ac:dyDescent="0.25" r="614" customHeight="1" ht="17.25">
      <c r="A614" s="2" t="s">
        <v>1233</v>
      </c>
      <c r="B614" s="2" t="s">
        <v>1166</v>
      </c>
      <c r="C614" s="2" t="s">
        <v>56</v>
      </c>
      <c r="D614" s="2" t="s">
        <v>1234</v>
      </c>
      <c r="E614" s="12" t="s">
        <v>42</v>
      </c>
      <c r="F614" s="2" t="s">
        <v>1235</v>
      </c>
      <c r="G614" s="2" t="s">
        <v>877</v>
      </c>
      <c r="H614" s="15">
        <v>2</v>
      </c>
      <c r="I614" s="13">
        <v>2.2</v>
      </c>
      <c r="J614" s="13">
        <v>2.3</v>
      </c>
      <c r="K614" s="14">
        <v>137</v>
      </c>
      <c r="L614" s="13"/>
      <c r="M614" s="13">
        <v>0.2</v>
      </c>
      <c r="N614" s="15"/>
      <c r="O614" s="16"/>
      <c r="P614" s="13"/>
      <c r="Q614" s="13"/>
      <c r="R614" s="17"/>
      <c r="S614" s="13"/>
      <c r="T614" s="17"/>
      <c r="U614" s="13"/>
      <c r="V614" s="16"/>
      <c r="W614" s="13"/>
      <c r="X614" s="13"/>
      <c r="Y614" s="14"/>
      <c r="Z614" s="2"/>
      <c r="AA614" s="13">
        <f>H614*I614/100</f>
      </c>
      <c r="AB614" s="13">
        <f>H614*J614/100</f>
      </c>
      <c r="AC614" s="15">
        <f>H614*K614</f>
      </c>
      <c r="AD614" s="15">
        <f>H614*M614</f>
      </c>
      <c r="AE614" s="13">
        <f>H614*L614/100</f>
      </c>
      <c r="AF614" s="13">
        <f>AA614+AB614+AE614</f>
      </c>
      <c r="AG614" s="13">
        <f>I614+J614+L614</f>
      </c>
      <c r="AH614" s="18">
        <f>$H614*I614</f>
      </c>
      <c r="AI614" s="18">
        <f>$H614*J614</f>
      </c>
      <c r="AJ614" s="18">
        <f>$H614*K614</f>
      </c>
      <c r="AK614" s="18">
        <f>$H614*L614</f>
      </c>
      <c r="AL614" s="18">
        <f>$H614*M614</f>
      </c>
      <c r="AM614" s="14"/>
      <c r="AN614" s="14"/>
      <c r="AO614" s="14"/>
    </row>
    <row x14ac:dyDescent="0.25" r="615" customHeight="1" ht="17.25">
      <c r="A615" s="2" t="s">
        <v>1236</v>
      </c>
      <c r="B615" s="2" t="s">
        <v>1166</v>
      </c>
      <c r="C615" s="2" t="s">
        <v>56</v>
      </c>
      <c r="D615" s="2" t="s">
        <v>75</v>
      </c>
      <c r="E615" s="2" t="s">
        <v>52</v>
      </c>
      <c r="F615" s="2" t="s">
        <v>1217</v>
      </c>
      <c r="G615" s="2" t="s">
        <v>108</v>
      </c>
      <c r="H615" s="13">
        <f>5.59+16.65+9.51</f>
      </c>
      <c r="I615" s="13">
        <f>(0.85*5.59+0.49*16.65+0.43*9.51)/$H615</f>
      </c>
      <c r="J615" s="13">
        <f>(1.3*5.59+0.83*16.65+0.97*9.51)/$H615</f>
      </c>
      <c r="K615" s="17">
        <f>(125*5.59+144*16.65+146*9.51)/$H615</f>
      </c>
      <c r="L615" s="13"/>
      <c r="M615" s="13">
        <f>(2.66*5.59+1.46*16.65+1.15*9.51)/$H615</f>
      </c>
      <c r="N615" s="15"/>
      <c r="O615" s="16"/>
      <c r="P615" s="13"/>
      <c r="Q615" s="13"/>
      <c r="R615" s="17"/>
      <c r="S615" s="13"/>
      <c r="T615" s="17"/>
      <c r="U615" s="13"/>
      <c r="V615" s="16"/>
      <c r="W615" s="13"/>
      <c r="X615" s="13"/>
      <c r="Y615" s="14"/>
      <c r="Z615" s="2"/>
      <c r="AA615" s="13">
        <f>H615*I615/100</f>
      </c>
      <c r="AB615" s="13">
        <f>H615*J615/100</f>
      </c>
      <c r="AC615" s="15">
        <f>H615*K615</f>
      </c>
      <c r="AD615" s="15">
        <f>H615*M615</f>
      </c>
      <c r="AE615" s="13">
        <f>H615*L615/100</f>
      </c>
      <c r="AF615" s="13">
        <f>AA615+AB615+AE615</f>
      </c>
      <c r="AG615" s="13">
        <f>I615+J615+L615</f>
      </c>
      <c r="AH615" s="18">
        <f>$H615*I615</f>
      </c>
      <c r="AI615" s="18">
        <f>$H615*J615</f>
      </c>
      <c r="AJ615" s="18">
        <f>$H615*K615</f>
      </c>
      <c r="AK615" s="18">
        <f>$H615*L615</f>
      </c>
      <c r="AL615" s="18">
        <f>$H615*M615</f>
      </c>
      <c r="AM615" s="14"/>
      <c r="AN615" s="14"/>
      <c r="AO615" s="14"/>
    </row>
    <row x14ac:dyDescent="0.25" r="616" customHeight="1" ht="17.25">
      <c r="A616" s="2" t="s">
        <v>1237</v>
      </c>
      <c r="B616" s="2" t="s">
        <v>1166</v>
      </c>
      <c r="C616" s="2" t="s">
        <v>56</v>
      </c>
      <c r="D616" s="2" t="s">
        <v>75</v>
      </c>
      <c r="E616" s="2" t="s">
        <v>52</v>
      </c>
      <c r="F616" s="2" t="s">
        <v>1217</v>
      </c>
      <c r="G616" s="2" t="s">
        <v>108</v>
      </c>
      <c r="H616" s="13">
        <f>9.66+26.27+33.56</f>
      </c>
      <c r="I616" s="13">
        <f>(0.83*9.66+1.95*26.27+1.24*33.56)/$H616</f>
      </c>
      <c r="J616" s="13">
        <f>(1.41*9.66+3.68*26.27+2.56*33.56)/$H616</f>
      </c>
      <c r="K616" s="17">
        <f>(657*9.66+307*26.27+312*33.56)/$H616</f>
      </c>
      <c r="L616" s="13"/>
      <c r="M616" s="13">
        <f>(0.78*9.66+0.8*26.27+0.71*33.56)/$H616</f>
      </c>
      <c r="N616" s="15"/>
      <c r="O616" s="16"/>
      <c r="P616" s="13"/>
      <c r="Q616" s="13"/>
      <c r="R616" s="17"/>
      <c r="S616" s="13"/>
      <c r="T616" s="17"/>
      <c r="U616" s="13"/>
      <c r="V616" s="16"/>
      <c r="W616" s="13"/>
      <c r="X616" s="13"/>
      <c r="Y616" s="14"/>
      <c r="Z616" s="2"/>
      <c r="AA616" s="13">
        <f>H616*I616/100</f>
      </c>
      <c r="AB616" s="13">
        <f>H616*J616/100</f>
      </c>
      <c r="AC616" s="15">
        <f>H616*K616</f>
      </c>
      <c r="AD616" s="15">
        <f>H616*M616</f>
      </c>
      <c r="AE616" s="13">
        <f>H616*L616/100</f>
      </c>
      <c r="AF616" s="13">
        <f>AA616+AB616+AE616</f>
      </c>
      <c r="AG616" s="13">
        <f>I616+J616+L616</f>
      </c>
      <c r="AH616" s="18">
        <f>$H616*I616</f>
      </c>
      <c r="AI616" s="18">
        <f>$H616*J616</f>
      </c>
      <c r="AJ616" s="18">
        <f>$H616*K616</f>
      </c>
      <c r="AK616" s="18">
        <f>$H616*L616</f>
      </c>
      <c r="AL616" s="18">
        <f>$H616*M616</f>
      </c>
      <c r="AM616" s="14"/>
      <c r="AN616" s="14"/>
      <c r="AO616" s="14"/>
    </row>
    <row x14ac:dyDescent="0.25" r="617" customHeight="1" ht="17.25">
      <c r="A617" s="2" t="s">
        <v>1238</v>
      </c>
      <c r="B617" s="2" t="s">
        <v>1166</v>
      </c>
      <c r="C617" s="2" t="s">
        <v>56</v>
      </c>
      <c r="D617" s="2"/>
      <c r="E617" s="2" t="s">
        <v>52</v>
      </c>
      <c r="F617" s="2" t="s">
        <v>1239</v>
      </c>
      <c r="G617" s="2" t="s">
        <v>1240</v>
      </c>
      <c r="H617" s="13">
        <f>4.816+3.205</f>
      </c>
      <c r="I617" s="13">
        <f>(2.09*4.816+1.66*3.205)/$H617</f>
      </c>
      <c r="J617" s="13">
        <f>(3.97*4.816+2.76*3.205)/$H617</f>
      </c>
      <c r="K617" s="17">
        <f>(516*4.816+343*3.205)/$H617</f>
      </c>
      <c r="L617" s="13"/>
      <c r="M617" s="13">
        <f>(1.91*4.816+1.52*3.205)/$H617</f>
      </c>
      <c r="N617" s="15"/>
      <c r="O617" s="16"/>
      <c r="P617" s="13"/>
      <c r="Q617" s="13"/>
      <c r="R617" s="17"/>
      <c r="S617" s="13"/>
      <c r="T617" s="17"/>
      <c r="U617" s="13"/>
      <c r="V617" s="16"/>
      <c r="W617" s="13"/>
      <c r="X617" s="13"/>
      <c r="Y617" s="14"/>
      <c r="Z617" s="2"/>
      <c r="AA617" s="13">
        <f>H617*I617/100</f>
      </c>
      <c r="AB617" s="13">
        <f>H617*J617/100</f>
      </c>
      <c r="AC617" s="15">
        <f>H617*K617</f>
      </c>
      <c r="AD617" s="15">
        <f>H617*M617</f>
      </c>
      <c r="AE617" s="13">
        <f>H617*L617/100</f>
      </c>
      <c r="AF617" s="13">
        <f>AA617+AB617+AE617</f>
      </c>
      <c r="AG617" s="13">
        <f>I617+J617+L617</f>
      </c>
      <c r="AH617" s="18">
        <f>$H617*I617</f>
      </c>
      <c r="AI617" s="18">
        <f>$H617*J617</f>
      </c>
      <c r="AJ617" s="18">
        <f>$H617*K617</f>
      </c>
      <c r="AK617" s="18">
        <f>$H617*L617</f>
      </c>
      <c r="AL617" s="18">
        <f>$H617*M617</f>
      </c>
      <c r="AM617" s="14"/>
      <c r="AN617" s="14"/>
      <c r="AO617" s="14"/>
    </row>
    <row x14ac:dyDescent="0.25" r="618" customHeight="1" ht="17.25">
      <c r="A618" s="2" t="s">
        <v>1241</v>
      </c>
      <c r="B618" s="2" t="s">
        <v>1166</v>
      </c>
      <c r="C618" s="2" t="s">
        <v>189</v>
      </c>
      <c r="D618" s="2" t="s">
        <v>79</v>
      </c>
      <c r="E618" s="2" t="s">
        <v>52</v>
      </c>
      <c r="F618" s="2" t="s">
        <v>1217</v>
      </c>
      <c r="G618" s="2" t="s">
        <v>108</v>
      </c>
      <c r="H618" s="13">
        <v>44.25</v>
      </c>
      <c r="I618" s="13">
        <v>0.11</v>
      </c>
      <c r="J618" s="13">
        <v>0.17</v>
      </c>
      <c r="K618" s="14">
        <v>10</v>
      </c>
      <c r="L618" s="13"/>
      <c r="M618" s="13">
        <v>0.68</v>
      </c>
      <c r="N618" s="15"/>
      <c r="O618" s="16"/>
      <c r="P618" s="13"/>
      <c r="Q618" s="13"/>
      <c r="R618" s="17"/>
      <c r="S618" s="13"/>
      <c r="T618" s="17"/>
      <c r="U618" s="13"/>
      <c r="V618" s="16"/>
      <c r="W618" s="13"/>
      <c r="X618" s="13"/>
      <c r="Y618" s="14"/>
      <c r="Z618" s="2"/>
      <c r="AA618" s="13">
        <f>H618*I618/100</f>
      </c>
      <c r="AB618" s="13">
        <f>H618*J618/100</f>
      </c>
      <c r="AC618" s="15">
        <f>H618*K618</f>
      </c>
      <c r="AD618" s="15">
        <f>H618*M618</f>
      </c>
      <c r="AE618" s="13">
        <f>H618*L618/100</f>
      </c>
      <c r="AF618" s="13">
        <f>AA618+AB618+AE618</f>
      </c>
      <c r="AG618" s="13">
        <f>I618+J618+L618</f>
      </c>
      <c r="AH618" s="18">
        <f>$H618*I618</f>
      </c>
      <c r="AI618" s="18">
        <f>$H618*J618</f>
      </c>
      <c r="AJ618" s="18">
        <f>$H618*K618</f>
      </c>
      <c r="AK618" s="18">
        <f>$H618*L618</f>
      </c>
      <c r="AL618" s="18">
        <f>$H618*M618</f>
      </c>
      <c r="AM618" s="14"/>
      <c r="AN618" s="14"/>
      <c r="AO618" s="14"/>
    </row>
    <row x14ac:dyDescent="0.25" r="619" customHeight="1" ht="17.25">
      <c r="A619" s="2" t="s">
        <v>1242</v>
      </c>
      <c r="B619" s="2" t="s">
        <v>1166</v>
      </c>
      <c r="C619" s="2" t="s">
        <v>189</v>
      </c>
      <c r="D619" s="2" t="s">
        <v>79</v>
      </c>
      <c r="E619" s="2" t="s">
        <v>52</v>
      </c>
      <c r="F619" s="2" t="s">
        <v>1217</v>
      </c>
      <c r="G619" s="2" t="s">
        <v>108</v>
      </c>
      <c r="H619" s="13">
        <v>7.049</v>
      </c>
      <c r="I619" s="13">
        <v>1.46</v>
      </c>
      <c r="J619" s="13">
        <v>1.27</v>
      </c>
      <c r="K619" s="14">
        <v>113</v>
      </c>
      <c r="L619" s="13"/>
      <c r="M619" s="13">
        <v>0.01</v>
      </c>
      <c r="N619" s="15"/>
      <c r="O619" s="16"/>
      <c r="P619" s="13"/>
      <c r="Q619" s="13"/>
      <c r="R619" s="17"/>
      <c r="S619" s="13"/>
      <c r="T619" s="17"/>
      <c r="U619" s="13"/>
      <c r="V619" s="16"/>
      <c r="W619" s="13"/>
      <c r="X619" s="13"/>
      <c r="Y619" s="14"/>
      <c r="Z619" s="2"/>
      <c r="AA619" s="13">
        <f>H619*I619/100</f>
      </c>
      <c r="AB619" s="13">
        <f>H619*J619/100</f>
      </c>
      <c r="AC619" s="15">
        <f>H619*K619</f>
      </c>
      <c r="AD619" s="15">
        <f>H619*M619</f>
      </c>
      <c r="AE619" s="13">
        <f>H619*L619/100</f>
      </c>
      <c r="AF619" s="13">
        <f>AA619+AB619+AE619</f>
      </c>
      <c r="AG619" s="13">
        <f>I619+J619+L619</f>
      </c>
      <c r="AH619" s="18">
        <f>$H619*I619</f>
      </c>
      <c r="AI619" s="18">
        <f>$H619*J619</f>
      </c>
      <c r="AJ619" s="18">
        <f>$H619*K619</f>
      </c>
      <c r="AK619" s="18">
        <f>$H619*L619</f>
      </c>
      <c r="AL619" s="18">
        <f>$H619*M619</f>
      </c>
      <c r="AM619" s="14"/>
      <c r="AN619" s="14"/>
      <c r="AO619" s="14"/>
    </row>
    <row x14ac:dyDescent="0.25" r="620" customHeight="1" ht="17.25">
      <c r="A620" s="2" t="s">
        <v>1243</v>
      </c>
      <c r="B620" s="2" t="s">
        <v>1166</v>
      </c>
      <c r="C620" s="2" t="s">
        <v>189</v>
      </c>
      <c r="D620" s="2" t="s">
        <v>79</v>
      </c>
      <c r="E620" s="2" t="s">
        <v>52</v>
      </c>
      <c r="F620" s="2" t="s">
        <v>1217</v>
      </c>
      <c r="G620" s="2" t="s">
        <v>108</v>
      </c>
      <c r="H620" s="13">
        <f>128.674+34.042</f>
      </c>
      <c r="I620" s="13">
        <f>(0.27*128.674+0.21*34.042)/$H620</f>
      </c>
      <c r="J620" s="13">
        <f>(0.43*128.674+0.35*34.042)/$H620</f>
      </c>
      <c r="K620" s="17">
        <f>(25*128.674+37*34.042)/$H620</f>
      </c>
      <c r="L620" s="13"/>
      <c r="M620" s="13">
        <f>(0.38*128.674+0.43*34.042)/$H620</f>
      </c>
      <c r="N620" s="15"/>
      <c r="O620" s="16"/>
      <c r="P620" s="13"/>
      <c r="Q620" s="13"/>
      <c r="R620" s="17"/>
      <c r="S620" s="13"/>
      <c r="T620" s="17"/>
      <c r="U620" s="13"/>
      <c r="V620" s="16"/>
      <c r="W620" s="13"/>
      <c r="X620" s="13"/>
      <c r="Y620" s="14"/>
      <c r="Z620" s="2"/>
      <c r="AA620" s="13">
        <f>H620*I620/100</f>
      </c>
      <c r="AB620" s="13">
        <f>H620*J620/100</f>
      </c>
      <c r="AC620" s="15">
        <f>H620*K620</f>
      </c>
      <c r="AD620" s="15">
        <f>H620*M620</f>
      </c>
      <c r="AE620" s="13">
        <f>H620*L620/100</f>
      </c>
      <c r="AF620" s="13">
        <f>AA620+AB620+AE620</f>
      </c>
      <c r="AG620" s="13">
        <f>I620+J620+L620</f>
      </c>
      <c r="AH620" s="18">
        <f>$H620*I620</f>
      </c>
      <c r="AI620" s="18">
        <f>$H620*J620</f>
      </c>
      <c r="AJ620" s="18">
        <f>$H620*K620</f>
      </c>
      <c r="AK620" s="18">
        <f>$H620*L620</f>
      </c>
      <c r="AL620" s="18">
        <f>$H620*M620</f>
      </c>
      <c r="AM620" s="14"/>
      <c r="AN620" s="14"/>
      <c r="AO620" s="14"/>
    </row>
    <row x14ac:dyDescent="0.25" r="621" customHeight="1" ht="17.25">
      <c r="A621" s="2" t="s">
        <v>1244</v>
      </c>
      <c r="B621" s="2" t="s">
        <v>1166</v>
      </c>
      <c r="C621" s="2" t="s">
        <v>56</v>
      </c>
      <c r="D621" s="2" t="s">
        <v>937</v>
      </c>
      <c r="E621" s="2" t="s">
        <v>52</v>
      </c>
      <c r="F621" s="2" t="s">
        <v>1217</v>
      </c>
      <c r="G621" s="2" t="s">
        <v>108</v>
      </c>
      <c r="H621" s="13">
        <f>1.37+9.44+33.58</f>
      </c>
      <c r="I621" s="13">
        <f>(0.72*1.37+2.19*9.44+1.17*33.58)/$H621</f>
      </c>
      <c r="J621" s="13">
        <f>(1.2*1.37+3.68*9.44+2.07*33.58)/$H621</f>
      </c>
      <c r="K621" s="17">
        <f>(523*1.37+435*9.44+336*33.58)/$H621</f>
      </c>
      <c r="L621" s="13"/>
      <c r="M621" s="13">
        <f>(2.88*1.37+2.12*9.44+1.19*33.58)/$H621</f>
      </c>
      <c r="N621" s="15"/>
      <c r="O621" s="16"/>
      <c r="P621" s="13"/>
      <c r="Q621" s="13"/>
      <c r="R621" s="17"/>
      <c r="S621" s="13"/>
      <c r="T621" s="17"/>
      <c r="U621" s="13"/>
      <c r="V621" s="16"/>
      <c r="W621" s="13"/>
      <c r="X621" s="13"/>
      <c r="Y621" s="14"/>
      <c r="Z621" s="2"/>
      <c r="AA621" s="13">
        <f>H621*I621/100</f>
      </c>
      <c r="AB621" s="13">
        <f>H621*J621/100</f>
      </c>
      <c r="AC621" s="15">
        <f>H621*K621</f>
      </c>
      <c r="AD621" s="15">
        <f>H621*M621</f>
      </c>
      <c r="AE621" s="13">
        <f>H621*L621/100</f>
      </c>
      <c r="AF621" s="13">
        <f>AA621+AB621+AE621</f>
      </c>
      <c r="AG621" s="13">
        <f>I621+J621+L621</f>
      </c>
      <c r="AH621" s="18">
        <f>$H621*I621</f>
      </c>
      <c r="AI621" s="18">
        <f>$H621*J621</f>
      </c>
      <c r="AJ621" s="18">
        <f>$H621*K621</f>
      </c>
      <c r="AK621" s="18">
        <f>$H621*L621</f>
      </c>
      <c r="AL621" s="18">
        <f>$H621*M621</f>
      </c>
      <c r="AM621" s="14"/>
      <c r="AN621" s="14"/>
      <c r="AO621" s="14"/>
    </row>
    <row x14ac:dyDescent="0.25" r="622" customHeight="1" ht="17.25">
      <c r="A622" s="2" t="s">
        <v>1245</v>
      </c>
      <c r="B622" s="2" t="s">
        <v>1166</v>
      </c>
      <c r="C622" s="2" t="s">
        <v>159</v>
      </c>
      <c r="D622" s="2"/>
      <c r="E622" s="2" t="s">
        <v>52</v>
      </c>
      <c r="F622" s="2" t="s">
        <v>1177</v>
      </c>
      <c r="G622" s="2" t="s">
        <v>108</v>
      </c>
      <c r="H622" s="13">
        <v>13.536</v>
      </c>
      <c r="I622" s="13">
        <v>2.19</v>
      </c>
      <c r="J622" s="13">
        <v>5.18</v>
      </c>
      <c r="K622" s="15">
        <v>92.96</v>
      </c>
      <c r="L622" s="13">
        <v>0.09</v>
      </c>
      <c r="M622" s="13">
        <v>0.04</v>
      </c>
      <c r="N622" s="15"/>
      <c r="O622" s="16"/>
      <c r="P622" s="13"/>
      <c r="Q622" s="13"/>
      <c r="R622" s="17"/>
      <c r="S622" s="13"/>
      <c r="T622" s="17"/>
      <c r="U622" s="13"/>
      <c r="V622" s="16"/>
      <c r="W622" s="13"/>
      <c r="X622" s="13"/>
      <c r="Y622" s="14"/>
      <c r="Z622" s="2"/>
      <c r="AA622" s="13">
        <f>H622*I622/100</f>
      </c>
      <c r="AB622" s="13">
        <f>H622*J622/100</f>
      </c>
      <c r="AC622" s="15">
        <f>H622*K622</f>
      </c>
      <c r="AD622" s="15">
        <f>H622*M622</f>
      </c>
      <c r="AE622" s="13">
        <f>H622*L622/100</f>
      </c>
      <c r="AF622" s="13">
        <f>AA622+AB622+AE622</f>
      </c>
      <c r="AG622" s="13">
        <f>I622+J622+L622</f>
      </c>
      <c r="AH622" s="18">
        <f>$H622*I622</f>
      </c>
      <c r="AI622" s="18">
        <f>$H622*J622</f>
      </c>
      <c r="AJ622" s="18">
        <f>$H622*K622</f>
      </c>
      <c r="AK622" s="18">
        <f>$H622*L622</f>
      </c>
      <c r="AL622" s="18">
        <f>$H622*M622</f>
      </c>
      <c r="AM622" s="14"/>
      <c r="AN622" s="14"/>
      <c r="AO622" s="14"/>
    </row>
    <row x14ac:dyDescent="0.25" r="623" customHeight="1" ht="17.25">
      <c r="A623" s="2" t="s">
        <v>1246</v>
      </c>
      <c r="B623" s="2" t="s">
        <v>1166</v>
      </c>
      <c r="C623" s="2" t="s">
        <v>56</v>
      </c>
      <c r="D623" s="2" t="s">
        <v>1247</v>
      </c>
      <c r="E623" s="2" t="s">
        <v>52</v>
      </c>
      <c r="F623" s="2" t="s">
        <v>1248</v>
      </c>
      <c r="G623" s="2" t="s">
        <v>1200</v>
      </c>
      <c r="H623" s="13">
        <v>7.6</v>
      </c>
      <c r="I623" s="13">
        <v>0.88</v>
      </c>
      <c r="J623" s="13">
        <v>1.54</v>
      </c>
      <c r="K623" s="15">
        <v>79</v>
      </c>
      <c r="L623" s="13"/>
      <c r="M623" s="13"/>
      <c r="N623" s="15"/>
      <c r="O623" s="16"/>
      <c r="P623" s="13"/>
      <c r="Q623" s="13"/>
      <c r="R623" s="17"/>
      <c r="S623" s="13"/>
      <c r="T623" s="17"/>
      <c r="U623" s="13"/>
      <c r="V623" s="16"/>
      <c r="W623" s="13"/>
      <c r="X623" s="13"/>
      <c r="Y623" s="14"/>
      <c r="Z623" s="2"/>
      <c r="AA623" s="13">
        <f>H623*I623/100</f>
      </c>
      <c r="AB623" s="13">
        <f>H623*J623/100</f>
      </c>
      <c r="AC623" s="15">
        <f>H623*K623</f>
      </c>
      <c r="AD623" s="15">
        <f>H623*M623</f>
      </c>
      <c r="AE623" s="13">
        <f>H623*L623/100</f>
      </c>
      <c r="AF623" s="13">
        <f>AA623+AB623+AE623</f>
      </c>
      <c r="AG623" s="13">
        <f>I623+J623+L623</f>
      </c>
      <c r="AH623" s="18">
        <f>$H623*I623</f>
      </c>
      <c r="AI623" s="18">
        <f>$H623*J623</f>
      </c>
      <c r="AJ623" s="18">
        <f>$H623*K623</f>
      </c>
      <c r="AK623" s="18">
        <f>$H623*L623</f>
      </c>
      <c r="AL623" s="18">
        <f>$H623*M623</f>
      </c>
      <c r="AM623" s="14"/>
      <c r="AN623" s="14"/>
      <c r="AO623" s="14"/>
    </row>
    <row x14ac:dyDescent="0.25" r="624" customHeight="1" ht="17.25">
      <c r="A624" s="2" t="s">
        <v>1249</v>
      </c>
      <c r="B624" s="2" t="s">
        <v>1166</v>
      </c>
      <c r="C624" s="2" t="s">
        <v>159</v>
      </c>
      <c r="D624" s="2"/>
      <c r="E624" s="2" t="s">
        <v>52</v>
      </c>
      <c r="F624" s="2" t="s">
        <v>1250</v>
      </c>
      <c r="G624" s="2" t="s">
        <v>628</v>
      </c>
      <c r="H624" s="13">
        <f>0.332+2.088+2.025</f>
      </c>
      <c r="I624" s="13">
        <f>(0.98*0.332+0.89*2.088+0.71*2.025)/$H624</f>
      </c>
      <c r="J624" s="13">
        <f>(2.01*0.332+1.7*2.088+1.44*2.025)/$H624</f>
      </c>
      <c r="K624" s="15">
        <f>(92.76*0.332+95.26*2.088+88.98*2.025)/$H624</f>
      </c>
      <c r="L624" s="13">
        <f>(0.24*0.332+0.27*2.088+0.26*2.025)/$H624</f>
      </c>
      <c r="M624" s="13"/>
      <c r="N624" s="15"/>
      <c r="O624" s="16"/>
      <c r="P624" s="13"/>
      <c r="Q624" s="13"/>
      <c r="R624" s="17"/>
      <c r="S624" s="13"/>
      <c r="T624" s="17"/>
      <c r="U624" s="13"/>
      <c r="V624" s="16"/>
      <c r="W624" s="13"/>
      <c r="X624" s="13"/>
      <c r="Y624" s="14"/>
      <c r="Z624" s="2"/>
      <c r="AA624" s="13">
        <f>H624*I624/100</f>
      </c>
      <c r="AB624" s="13">
        <f>H624*J624/100</f>
      </c>
      <c r="AC624" s="15">
        <f>H624*K624</f>
      </c>
      <c r="AD624" s="15">
        <f>H624*M624</f>
      </c>
      <c r="AE624" s="13">
        <f>H624*L624/100</f>
      </c>
      <c r="AF624" s="13">
        <f>AA624+AB624+AE624</f>
      </c>
      <c r="AG624" s="13">
        <f>I624+J624+L624</f>
      </c>
      <c r="AH624" s="18">
        <f>$H624*I624</f>
      </c>
      <c r="AI624" s="18">
        <f>$H624*J624</f>
      </c>
      <c r="AJ624" s="18">
        <f>$H624*K624</f>
      </c>
      <c r="AK624" s="18">
        <f>$H624*L624</f>
      </c>
      <c r="AL624" s="18">
        <f>$H624*M624</f>
      </c>
      <c r="AM624" s="14"/>
      <c r="AN624" s="14"/>
      <c r="AO624" s="14"/>
    </row>
    <row x14ac:dyDescent="0.25" r="625" customHeight="1" ht="17.25">
      <c r="A625" s="2" t="s">
        <v>1251</v>
      </c>
      <c r="B625" s="2" t="s">
        <v>1166</v>
      </c>
      <c r="C625" s="2" t="s">
        <v>159</v>
      </c>
      <c r="D625" s="2"/>
      <c r="E625" s="2" t="s">
        <v>52</v>
      </c>
      <c r="F625" s="2" t="s">
        <v>1187</v>
      </c>
      <c r="G625" s="2" t="s">
        <v>108</v>
      </c>
      <c r="H625" s="13">
        <f>335.03+194.94+32.23+248.38+40.79</f>
      </c>
      <c r="I625" s="13">
        <f>(0.35*335.03+0.25*194.94+0.27*32.23+0.31*248.38+0.18*40.79)/$H625</f>
      </c>
      <c r="J625" s="13">
        <f>(0.85*335.03+0.62*194.94+0.67*32.23+1.05*248.38+0.38*40.79)/$H625</f>
      </c>
      <c r="K625" s="15">
        <f>(34.67*335.03+24.7*194.94+23.51*32.23+30.81*248.38+30.82*40.79)/$H625</f>
      </c>
      <c r="L625" s="13"/>
      <c r="M625" s="13">
        <f>(0.71*335.03+0.47*194.94+0.25*32.23+0.27*248.38+0.17*40.79)/$H625</f>
      </c>
      <c r="N625" s="15"/>
      <c r="O625" s="16"/>
      <c r="P625" s="13"/>
      <c r="Q625" s="13"/>
      <c r="R625" s="17"/>
      <c r="S625" s="13"/>
      <c r="T625" s="17"/>
      <c r="U625" s="13"/>
      <c r="V625" s="16"/>
      <c r="W625" s="13"/>
      <c r="X625" s="13"/>
      <c r="Y625" s="14"/>
      <c r="Z625" s="2"/>
      <c r="AA625" s="13">
        <f>H625*I625/100</f>
      </c>
      <c r="AB625" s="13">
        <f>H625*J625/100</f>
      </c>
      <c r="AC625" s="15">
        <f>H625*K625</f>
      </c>
      <c r="AD625" s="15">
        <f>H625*M625</f>
      </c>
      <c r="AE625" s="13">
        <f>H625*L625/100</f>
      </c>
      <c r="AF625" s="13">
        <f>AA625+AB625+AE625</f>
      </c>
      <c r="AG625" s="13">
        <f>I625+J625+L625</f>
      </c>
      <c r="AH625" s="18">
        <f>$H625*I625</f>
      </c>
      <c r="AI625" s="18">
        <f>$H625*J625</f>
      </c>
      <c r="AJ625" s="18">
        <f>$H625*K625</f>
      </c>
      <c r="AK625" s="18">
        <f>$H625*L625</f>
      </c>
      <c r="AL625" s="18">
        <f>$H625*M625</f>
      </c>
      <c r="AM625" s="14"/>
      <c r="AN625" s="14"/>
      <c r="AO625" s="14"/>
    </row>
    <row x14ac:dyDescent="0.25" r="626" customHeight="1" ht="17.25">
      <c r="A626" s="2" t="s">
        <v>1252</v>
      </c>
      <c r="B626" s="2" t="s">
        <v>1166</v>
      </c>
      <c r="C626" s="2" t="s">
        <v>56</v>
      </c>
      <c r="D626" s="2" t="s">
        <v>937</v>
      </c>
      <c r="E626" s="2" t="s">
        <v>52</v>
      </c>
      <c r="F626" s="2" t="s">
        <v>80</v>
      </c>
      <c r="G626" s="2" t="s">
        <v>73</v>
      </c>
      <c r="H626" s="13">
        <f>260.3+22.1</f>
      </c>
      <c r="I626" s="13">
        <f>(0.32*260.3+0.21*22.1)/$H626</f>
      </c>
      <c r="J626" s="13">
        <f>(0.72*260.3+0.49*22.1)/$H626</f>
      </c>
      <c r="K626" s="15">
        <f>(95.4*20.3+81.9*240+62.1*22.1)/$H626</f>
      </c>
      <c r="L626" s="13"/>
      <c r="M626" s="13"/>
      <c r="N626" s="15"/>
      <c r="O626" s="16"/>
      <c r="P626" s="13"/>
      <c r="Q626" s="13"/>
      <c r="R626" s="17"/>
      <c r="S626" s="13"/>
      <c r="T626" s="17"/>
      <c r="U626" s="13"/>
      <c r="V626" s="16"/>
      <c r="W626" s="13"/>
      <c r="X626" s="13"/>
      <c r="Y626" s="14"/>
      <c r="Z626" s="2"/>
      <c r="AA626" s="13">
        <f>H626*I626/100</f>
      </c>
      <c r="AB626" s="13">
        <f>H626*J626/100</f>
      </c>
      <c r="AC626" s="15">
        <f>H626*K626</f>
      </c>
      <c r="AD626" s="15">
        <f>H626*M626</f>
      </c>
      <c r="AE626" s="13">
        <f>H626*L626/100</f>
      </c>
      <c r="AF626" s="13">
        <f>AA626+AB626+AE626</f>
      </c>
      <c r="AG626" s="13">
        <f>I626+J626+L626</f>
      </c>
      <c r="AH626" s="18">
        <f>$H626*I626</f>
      </c>
      <c r="AI626" s="18">
        <f>$H626*J626</f>
      </c>
      <c r="AJ626" s="18">
        <f>$H626*K626</f>
      </c>
      <c r="AK626" s="18">
        <f>$H626*L626</f>
      </c>
      <c r="AL626" s="18">
        <f>$H626*M626</f>
      </c>
      <c r="AM626" s="14"/>
      <c r="AN626" s="14"/>
      <c r="AO626" s="14"/>
    </row>
    <row x14ac:dyDescent="0.25" r="627" customHeight="1" ht="17.25">
      <c r="A627" s="2" t="s">
        <v>1253</v>
      </c>
      <c r="B627" s="2" t="s">
        <v>1166</v>
      </c>
      <c r="C627" s="2" t="s">
        <v>1254</v>
      </c>
      <c r="D627" s="2"/>
      <c r="E627" s="2" t="s">
        <v>52</v>
      </c>
      <c r="F627" s="2" t="s">
        <v>1235</v>
      </c>
      <c r="G627" s="2" t="s">
        <v>1255</v>
      </c>
      <c r="H627" s="13">
        <f>0.088+0.549+0.069</f>
      </c>
      <c r="I627" s="13">
        <f>(9.14*0.088+8.92*0.549+11.35*0.069)/$H627</f>
      </c>
      <c r="J627" s="13">
        <f>(11.99*0.088+10.36*0.549+11.34*0.069)/$H627</f>
      </c>
      <c r="K627" s="17">
        <f>(1064*0.088+800*0.549+1011*0.069)/$H627</f>
      </c>
      <c r="L627" s="13"/>
      <c r="M627" s="13"/>
      <c r="N627" s="15"/>
      <c r="O627" s="16"/>
      <c r="P627" s="13"/>
      <c r="Q627" s="13"/>
      <c r="R627" s="17"/>
      <c r="S627" s="13"/>
      <c r="T627" s="17"/>
      <c r="U627" s="13"/>
      <c r="V627" s="16"/>
      <c r="W627" s="13"/>
      <c r="X627" s="13"/>
      <c r="Y627" s="14"/>
      <c r="Z627" s="2"/>
      <c r="AA627" s="13">
        <f>H627*I627/100</f>
      </c>
      <c r="AB627" s="13">
        <f>H627*J627/100</f>
      </c>
      <c r="AC627" s="15">
        <f>H627*K627</f>
      </c>
      <c r="AD627" s="15">
        <f>H627*M627</f>
      </c>
      <c r="AE627" s="13">
        <f>H627*L627/100</f>
      </c>
      <c r="AF627" s="13">
        <f>AA627+AB627+AE627</f>
      </c>
      <c r="AG627" s="13">
        <f>I627+J627+L627</f>
      </c>
      <c r="AH627" s="18">
        <f>$H627*I627</f>
      </c>
      <c r="AI627" s="18">
        <f>$H627*J627</f>
      </c>
      <c r="AJ627" s="18">
        <f>$H627*K627</f>
      </c>
      <c r="AK627" s="18">
        <f>$H627*L627</f>
      </c>
      <c r="AL627" s="18">
        <f>$H627*M627</f>
      </c>
      <c r="AM627" s="14"/>
      <c r="AN627" s="14"/>
      <c r="AO627" s="14"/>
    </row>
    <row x14ac:dyDescent="0.25" r="628" customHeight="1" ht="17.25">
      <c r="A628" s="2" t="s">
        <v>1256</v>
      </c>
      <c r="B628" s="2" t="s">
        <v>1166</v>
      </c>
      <c r="C628" s="2" t="s">
        <v>40</v>
      </c>
      <c r="D628" s="2" t="s">
        <v>41</v>
      </c>
      <c r="E628" s="12" t="s">
        <v>42</v>
      </c>
      <c r="F628" s="2" t="s">
        <v>1209</v>
      </c>
      <c r="G628" s="2" t="s">
        <v>617</v>
      </c>
      <c r="H628" s="16">
        <v>0.895512</v>
      </c>
      <c r="I628" s="13">
        <v>2.1</v>
      </c>
      <c r="J628" s="13">
        <v>3.4</v>
      </c>
      <c r="K628" s="14">
        <v>191</v>
      </c>
      <c r="L628" s="13"/>
      <c r="M628" s="13">
        <v>0.8</v>
      </c>
      <c r="N628" s="15"/>
      <c r="O628" s="16"/>
      <c r="P628" s="13"/>
      <c r="Q628" s="13"/>
      <c r="R628" s="17"/>
      <c r="S628" s="13"/>
      <c r="T628" s="17"/>
      <c r="U628" s="13"/>
      <c r="V628" s="16"/>
      <c r="W628" s="13"/>
      <c r="X628" s="13"/>
      <c r="Y628" s="14"/>
      <c r="Z628" s="2"/>
      <c r="AA628" s="13">
        <f>H628*I628/100</f>
      </c>
      <c r="AB628" s="13">
        <f>H628*J628/100</f>
      </c>
      <c r="AC628" s="15">
        <f>H628*K628</f>
      </c>
      <c r="AD628" s="15">
        <f>H628*M628</f>
      </c>
      <c r="AE628" s="13">
        <f>H628*L628/100</f>
      </c>
      <c r="AF628" s="13">
        <f>AA628+AB628+AE628</f>
      </c>
      <c r="AG628" s="13">
        <f>I628+J628+L628</f>
      </c>
      <c r="AH628" s="18">
        <f>$H628*I628</f>
      </c>
      <c r="AI628" s="18">
        <f>$H628*J628</f>
      </c>
      <c r="AJ628" s="18">
        <f>$H628*K628</f>
      </c>
      <c r="AK628" s="18">
        <f>$H628*L628</f>
      </c>
      <c r="AL628" s="18">
        <f>$H628*M628</f>
      </c>
      <c r="AM628" s="14"/>
      <c r="AN628" s="14"/>
      <c r="AO628" s="14"/>
    </row>
    <row x14ac:dyDescent="0.25" r="629" customHeight="1" ht="17.25">
      <c r="A629" s="2" t="s">
        <v>1257</v>
      </c>
      <c r="B629" s="2" t="s">
        <v>1166</v>
      </c>
      <c r="C629" s="2" t="s">
        <v>50</v>
      </c>
      <c r="D629" s="2"/>
      <c r="E629" s="2" t="s">
        <v>52</v>
      </c>
      <c r="F629" s="2" t="s">
        <v>1258</v>
      </c>
      <c r="G629" s="2" t="s">
        <v>1259</v>
      </c>
      <c r="H629" s="13">
        <v>25.2</v>
      </c>
      <c r="I629" s="13">
        <v>2.1</v>
      </c>
      <c r="J629" s="13">
        <v>8.3</v>
      </c>
      <c r="K629" s="15"/>
      <c r="L629" s="13">
        <v>0.5</v>
      </c>
      <c r="M629" s="13">
        <v>1.3</v>
      </c>
      <c r="N629" s="15"/>
      <c r="O629" s="16"/>
      <c r="P629" s="13"/>
      <c r="Q629" s="13"/>
      <c r="R629" s="17"/>
      <c r="S629" s="13"/>
      <c r="T629" s="17"/>
      <c r="U629" s="13"/>
      <c r="V629" s="16"/>
      <c r="W629" s="13"/>
      <c r="X629" s="13"/>
      <c r="Y629" s="14"/>
      <c r="Z629" s="2"/>
      <c r="AA629" s="13">
        <f>H629*I629/100</f>
      </c>
      <c r="AB629" s="13">
        <f>H629*J629/100</f>
      </c>
      <c r="AC629" s="15">
        <f>H629*K629</f>
      </c>
      <c r="AD629" s="15">
        <f>H629*M629</f>
      </c>
      <c r="AE629" s="13">
        <f>H629*L629/100</f>
      </c>
      <c r="AF629" s="22">
        <f>AA629+AB629+AE629</f>
      </c>
      <c r="AG629" s="13">
        <f>I629+J629+L629</f>
      </c>
      <c r="AH629" s="18">
        <f>$H629*I629</f>
      </c>
      <c r="AI629" s="18">
        <f>$H629*J629</f>
      </c>
      <c r="AJ629" s="18">
        <f>$H629*K629</f>
      </c>
      <c r="AK629" s="18">
        <f>$H629*L629</f>
      </c>
      <c r="AL629" s="18">
        <f>$H629*M629</f>
      </c>
      <c r="AM629" s="14"/>
      <c r="AN629" s="14"/>
      <c r="AO629" s="14"/>
    </row>
    <row x14ac:dyDescent="0.25" r="630" customHeight="1" ht="17.25">
      <c r="A630" s="2" t="s">
        <v>1260</v>
      </c>
      <c r="B630" s="2" t="s">
        <v>1166</v>
      </c>
      <c r="C630" s="2" t="s">
        <v>56</v>
      </c>
      <c r="D630" s="2" t="s">
        <v>79</v>
      </c>
      <c r="E630" s="2" t="s">
        <v>52</v>
      </c>
      <c r="F630" s="2" t="s">
        <v>1261</v>
      </c>
      <c r="G630" s="2" t="s">
        <v>1230</v>
      </c>
      <c r="H630" s="13">
        <f>0.284+0.864+0.512</f>
      </c>
      <c r="I630" s="13">
        <f>(1.1*0.284+1.01*0.864+0.61*0.512)/$H630</f>
      </c>
      <c r="J630" s="13">
        <f>(3.34*0.284+2.16*0.864+1.67*0.512)/$H630</f>
      </c>
      <c r="K630" s="15">
        <f>(192.6*0.284+135.5*0.864+72.2*0.512)/$H630</f>
      </c>
      <c r="L630" s="13"/>
      <c r="M630" s="13">
        <f>(0.912*0.284+0.809*0.864+0.772*0.512)/$H630</f>
      </c>
      <c r="N630" s="15"/>
      <c r="O630" s="16"/>
      <c r="P630" s="13"/>
      <c r="Q630" s="13"/>
      <c r="R630" s="17"/>
      <c r="S630" s="13"/>
      <c r="T630" s="17"/>
      <c r="U630" s="13"/>
      <c r="V630" s="16"/>
      <c r="W630" s="13"/>
      <c r="X630" s="13"/>
      <c r="Y630" s="14"/>
      <c r="Z630" s="2"/>
      <c r="AA630" s="13">
        <f>H630*I630/100</f>
      </c>
      <c r="AB630" s="13">
        <f>H630*J630/100</f>
      </c>
      <c r="AC630" s="15">
        <f>H630*K630</f>
      </c>
      <c r="AD630" s="15">
        <f>H630*M630</f>
      </c>
      <c r="AE630" s="13">
        <f>H630*L630/100</f>
      </c>
      <c r="AF630" s="13">
        <f>AA630+AB630+AE630</f>
      </c>
      <c r="AG630" s="13">
        <f>I630+J630+L630</f>
      </c>
      <c r="AH630" s="18">
        <f>$H630*I630</f>
      </c>
      <c r="AI630" s="18">
        <f>$H630*J630</f>
      </c>
      <c r="AJ630" s="18">
        <f>$H630*K630</f>
      </c>
      <c r="AK630" s="18">
        <f>$H630*L630</f>
      </c>
      <c r="AL630" s="18">
        <f>$H630*M630</f>
      </c>
      <c r="AM630" s="14"/>
      <c r="AN630" s="14"/>
      <c r="AO630" s="14"/>
    </row>
    <row x14ac:dyDescent="0.25" r="631" customHeight="1" ht="17.25">
      <c r="A631" s="2" t="s">
        <v>1262</v>
      </c>
      <c r="B631" s="2" t="s">
        <v>1166</v>
      </c>
      <c r="C631" s="2" t="s">
        <v>40</v>
      </c>
      <c r="D631" s="2" t="s">
        <v>41</v>
      </c>
      <c r="E631" s="2" t="s">
        <v>52</v>
      </c>
      <c r="F631" s="2" t="s">
        <v>1177</v>
      </c>
      <c r="G631" s="2" t="s">
        <v>108</v>
      </c>
      <c r="H631" s="13">
        <v>13.155</v>
      </c>
      <c r="I631" s="13">
        <v>1.25</v>
      </c>
      <c r="J631" s="13">
        <v>2.06</v>
      </c>
      <c r="K631" s="15">
        <v>121.57</v>
      </c>
      <c r="L631" s="13">
        <v>0.36</v>
      </c>
      <c r="M631" s="13"/>
      <c r="N631" s="15"/>
      <c r="O631" s="16"/>
      <c r="P631" s="13"/>
      <c r="Q631" s="13"/>
      <c r="R631" s="17"/>
      <c r="S631" s="13"/>
      <c r="T631" s="17"/>
      <c r="U631" s="13"/>
      <c r="V631" s="16"/>
      <c r="W631" s="13"/>
      <c r="X631" s="13"/>
      <c r="Y631" s="14"/>
      <c r="Z631" s="2"/>
      <c r="AA631" s="13">
        <f>H631*I631/100</f>
      </c>
      <c r="AB631" s="13">
        <f>H631*J631/100</f>
      </c>
      <c r="AC631" s="15">
        <f>H631*K631</f>
      </c>
      <c r="AD631" s="15">
        <f>H631*M631</f>
      </c>
      <c r="AE631" s="13">
        <f>H631*L631/100</f>
      </c>
      <c r="AF631" s="13">
        <f>AA631+AB631+AE631</f>
      </c>
      <c r="AG631" s="13">
        <f>I631+J631+L631</f>
      </c>
      <c r="AH631" s="18">
        <f>$H631*I631</f>
      </c>
      <c r="AI631" s="18">
        <f>$H631*J631</f>
      </c>
      <c r="AJ631" s="18">
        <f>$H631*K631</f>
      </c>
      <c r="AK631" s="18">
        <f>$H631*L631</f>
      </c>
      <c r="AL631" s="18">
        <f>$H631*M631</f>
      </c>
      <c r="AM631" s="14"/>
      <c r="AN631" s="14"/>
      <c r="AO631" s="14"/>
    </row>
    <row x14ac:dyDescent="0.25" r="632" customHeight="1" ht="17.25">
      <c r="A632" s="2" t="s">
        <v>1263</v>
      </c>
      <c r="B632" s="2" t="s">
        <v>1166</v>
      </c>
      <c r="C632" s="2" t="s">
        <v>159</v>
      </c>
      <c r="D632" s="2"/>
      <c r="E632" s="2" t="s">
        <v>52</v>
      </c>
      <c r="F632" s="2" t="s">
        <v>1264</v>
      </c>
      <c r="G632" s="2" t="s">
        <v>1265</v>
      </c>
      <c r="H632" s="13">
        <f>121+91.2</f>
      </c>
      <c r="I632" s="13">
        <f>(0.06*121+0.07*91.2)/$H632</f>
      </c>
      <c r="J632" s="13">
        <f>(0.49*121+0.48*91.2)/$H632</f>
      </c>
      <c r="K632" s="15">
        <f>(12.3*121+12.6*91.2)/$H632</f>
      </c>
      <c r="L632" s="13"/>
      <c r="M632" s="15">
        <f>(0.4*121+0.4*91.2)/$H632</f>
      </c>
      <c r="N632" s="15"/>
      <c r="O632" s="16"/>
      <c r="P632" s="13"/>
      <c r="Q632" s="13"/>
      <c r="R632" s="17"/>
      <c r="S632" s="13"/>
      <c r="T632" s="17"/>
      <c r="U632" s="13"/>
      <c r="V632" s="16"/>
      <c r="W632" s="13"/>
      <c r="X632" s="13"/>
      <c r="Y632" s="14"/>
      <c r="Z632" s="2"/>
      <c r="AA632" s="13">
        <f>H632*I632/100</f>
      </c>
      <c r="AB632" s="13">
        <f>H632*J632/100</f>
      </c>
      <c r="AC632" s="15">
        <f>H632*K632</f>
      </c>
      <c r="AD632" s="15">
        <f>H632*M632</f>
      </c>
      <c r="AE632" s="13">
        <f>H632*L632/100</f>
      </c>
      <c r="AF632" s="13">
        <f>AA632+AB632+AE632</f>
      </c>
      <c r="AG632" s="13">
        <f>I632+J632+L632</f>
      </c>
      <c r="AH632" s="18">
        <f>$H632*I632</f>
      </c>
      <c r="AI632" s="18">
        <f>$H632*J632</f>
      </c>
      <c r="AJ632" s="18">
        <f>$H632*K632</f>
      </c>
      <c r="AK632" s="18">
        <f>$H632*L632</f>
      </c>
      <c r="AL632" s="18">
        <f>$H632*M632</f>
      </c>
      <c r="AM632" s="14"/>
      <c r="AN632" s="14"/>
      <c r="AO632" s="14"/>
    </row>
    <row x14ac:dyDescent="0.25" r="633" customHeight="1" ht="17.25">
      <c r="A633" s="2" t="s">
        <v>1266</v>
      </c>
      <c r="B633" s="2" t="s">
        <v>1166</v>
      </c>
      <c r="C633" s="2" t="s">
        <v>56</v>
      </c>
      <c r="D633" s="2"/>
      <c r="E633" s="2" t="s">
        <v>52</v>
      </c>
      <c r="F633" s="2" t="s">
        <v>1267</v>
      </c>
      <c r="G633" s="2" t="s">
        <v>108</v>
      </c>
      <c r="H633" s="16">
        <f>1.393716+1.354261+1.257731</f>
      </c>
      <c r="I633" s="13">
        <f>(3.1*1.393716+2.73*1.354261+2.26*1.257731)/$H633</f>
      </c>
      <c r="J633" s="13">
        <f>(7.12*1.393716+6.14*1.354261+6.18*1.257731)/$H633</f>
      </c>
      <c r="K633" s="17">
        <f>(69*1.393716+82*1.354261+84*1.257731)/$H633</f>
      </c>
      <c r="L633" s="13">
        <f>(0.39*1.393716+0.31*1.354261+0.19*1.257731)/$H633</f>
      </c>
      <c r="M633" s="13">
        <f>(0.02*1.393716+0.06*1.354261+0.05*1.257731)/$H633</f>
      </c>
      <c r="N633" s="15"/>
      <c r="O633" s="16"/>
      <c r="P633" s="13"/>
      <c r="Q633" s="13"/>
      <c r="R633" s="17"/>
      <c r="S633" s="13"/>
      <c r="T633" s="17"/>
      <c r="U633" s="13"/>
      <c r="V633" s="16"/>
      <c r="W633" s="13"/>
      <c r="X633" s="13"/>
      <c r="Y633" s="14"/>
      <c r="Z633" s="2"/>
      <c r="AA633" s="13">
        <f>H633*I633/100</f>
      </c>
      <c r="AB633" s="13">
        <f>H633*J633/100</f>
      </c>
      <c r="AC633" s="15">
        <f>H633*K633</f>
      </c>
      <c r="AD633" s="15">
        <f>H633*M633</f>
      </c>
      <c r="AE633" s="13">
        <f>H633*L633/100</f>
      </c>
      <c r="AF633" s="13">
        <f>AA633+AB633+AE633</f>
      </c>
      <c r="AG633" s="13">
        <f>I633+J633+L633</f>
      </c>
      <c r="AH633" s="18">
        <f>$H633*I633</f>
      </c>
      <c r="AI633" s="18">
        <f>$H633*J633</f>
      </c>
      <c r="AJ633" s="18">
        <f>$H633*K633</f>
      </c>
      <c r="AK633" s="18">
        <f>$H633*L633</f>
      </c>
      <c r="AL633" s="18">
        <f>$H633*M633</f>
      </c>
      <c r="AM633" s="14"/>
      <c r="AN633" s="14"/>
      <c r="AO633" s="14"/>
    </row>
    <row x14ac:dyDescent="0.25" r="634" customHeight="1" ht="17.25">
      <c r="A634" s="2" t="s">
        <v>1268</v>
      </c>
      <c r="B634" s="2" t="s">
        <v>1166</v>
      </c>
      <c r="C634" s="2" t="s">
        <v>159</v>
      </c>
      <c r="D634" s="2"/>
      <c r="E634" s="2" t="s">
        <v>52</v>
      </c>
      <c r="F634" s="2" t="s">
        <v>1261</v>
      </c>
      <c r="G634" s="2" t="s">
        <v>1230</v>
      </c>
      <c r="H634" s="13">
        <f>4.314+1.546+3.084</f>
      </c>
      <c r="I634" s="13">
        <f>(2.56*4.314+2.29*1.546+2.17*3.084)/$H634</f>
      </c>
      <c r="J634" s="13">
        <f>(4.51*4.314+3.96*1.546+3.35*3.084)/$H634</f>
      </c>
      <c r="K634" s="15">
        <f>(64.3*4.314+53.58*1.546+41.75*3.084)/$H634</f>
      </c>
      <c r="L634" s="13">
        <f>(0.25*4.314+0.2*1.546+0.16*3.084)/$H634</f>
      </c>
      <c r="M634" s="13"/>
      <c r="N634" s="15"/>
      <c r="O634" s="16"/>
      <c r="P634" s="13"/>
      <c r="Q634" s="13"/>
      <c r="R634" s="17"/>
      <c r="S634" s="13"/>
      <c r="T634" s="17"/>
      <c r="U634" s="13"/>
      <c r="V634" s="16"/>
      <c r="W634" s="13"/>
      <c r="X634" s="13"/>
      <c r="Y634" s="14"/>
      <c r="Z634" s="2"/>
      <c r="AA634" s="13">
        <f>H634*I634/100</f>
      </c>
      <c r="AB634" s="13">
        <f>H634*J634/100</f>
      </c>
      <c r="AC634" s="15">
        <f>H634*K634</f>
      </c>
      <c r="AD634" s="15">
        <f>H634*M634</f>
      </c>
      <c r="AE634" s="13">
        <f>H634*L634/100</f>
      </c>
      <c r="AF634" s="13">
        <f>AA634+AB634+AE634</f>
      </c>
      <c r="AG634" s="13">
        <f>I634+J634+L634</f>
      </c>
      <c r="AH634" s="18">
        <f>$H634*I634</f>
      </c>
      <c r="AI634" s="18">
        <f>$H634*J634</f>
      </c>
      <c r="AJ634" s="18">
        <f>$H634*K634</f>
      </c>
      <c r="AK634" s="18">
        <f>$H634*L634</f>
      </c>
      <c r="AL634" s="18">
        <f>$H634*M634</f>
      </c>
      <c r="AM634" s="14"/>
      <c r="AN634" s="14"/>
      <c r="AO634" s="14"/>
    </row>
    <row x14ac:dyDescent="0.25" r="635" customHeight="1" ht="17.25">
      <c r="A635" s="2" t="s">
        <v>1269</v>
      </c>
      <c r="B635" s="2" t="s">
        <v>1166</v>
      </c>
      <c r="C635" s="2" t="s">
        <v>56</v>
      </c>
      <c r="D635" s="2" t="s">
        <v>75</v>
      </c>
      <c r="E635" s="2" t="s">
        <v>52</v>
      </c>
      <c r="F635" s="2" t="s">
        <v>1270</v>
      </c>
      <c r="G635" s="2" t="s">
        <v>628</v>
      </c>
      <c r="H635" s="13">
        <f>8+24.5</f>
      </c>
      <c r="I635" s="13">
        <f>(0.38*8+0.38*24.5)/$H635</f>
      </c>
      <c r="J635" s="13">
        <f>(0.85*8+0.76*24.5)/$H635</f>
      </c>
      <c r="K635" s="17">
        <f>(119*8+110*24.5)/$H635</f>
      </c>
      <c r="L635" s="13"/>
      <c r="M635" s="13"/>
      <c r="N635" s="15"/>
      <c r="O635" s="16"/>
      <c r="P635" s="13"/>
      <c r="Q635" s="13"/>
      <c r="R635" s="17"/>
      <c r="S635" s="13"/>
      <c r="T635" s="17"/>
      <c r="U635" s="13"/>
      <c r="V635" s="16"/>
      <c r="W635" s="13"/>
      <c r="X635" s="13"/>
      <c r="Y635" s="14"/>
      <c r="Z635" s="2"/>
      <c r="AA635" s="13">
        <f>H635*I635/100</f>
      </c>
      <c r="AB635" s="13">
        <f>H635*J635/100</f>
      </c>
      <c r="AC635" s="15">
        <f>H635*K635</f>
      </c>
      <c r="AD635" s="15">
        <f>H635*M635</f>
      </c>
      <c r="AE635" s="13">
        <f>H635*L635/100</f>
      </c>
      <c r="AF635" s="13">
        <f>AA635+AB635+AE635</f>
      </c>
      <c r="AG635" s="13">
        <f>I635+J635+L635</f>
      </c>
      <c r="AH635" s="18">
        <f>$H635*I635</f>
      </c>
      <c r="AI635" s="18">
        <f>$H635*J635</f>
      </c>
      <c r="AJ635" s="18">
        <f>$H635*K635</f>
      </c>
      <c r="AK635" s="18">
        <f>$H635*L635</f>
      </c>
      <c r="AL635" s="18">
        <f>$H635*M635</f>
      </c>
      <c r="AM635" s="14"/>
      <c r="AN635" s="14"/>
      <c r="AO635" s="14"/>
    </row>
    <row x14ac:dyDescent="0.25" r="636" customHeight="1" ht="17.25">
      <c r="A636" s="2" t="s">
        <v>1271</v>
      </c>
      <c r="B636" s="2" t="s">
        <v>1166</v>
      </c>
      <c r="C636" s="2" t="s">
        <v>56</v>
      </c>
      <c r="D636" s="2" t="s">
        <v>75</v>
      </c>
      <c r="E636" s="2" t="s">
        <v>52</v>
      </c>
      <c r="F636" s="2" t="s">
        <v>1194</v>
      </c>
      <c r="G636" s="2" t="s">
        <v>638</v>
      </c>
      <c r="H636" s="13">
        <f>1.06+6.999+2.079+2.192+1.154+1.574</f>
      </c>
      <c r="I636" s="13">
        <f>(0.06*1.06+0.03*6.999+0.06*2.079+0.01*2.192+0.02*1.154+0.02*1.574)/$H636</f>
      </c>
      <c r="J636" s="13">
        <f>(0.52*1.06+0.15*6.999+0.41*2.079+0.04*2.192+0.04*1.154+0.05*1.574)/$H636</f>
      </c>
      <c r="K636" s="15">
        <f>(10.15*1.06+9.74*6.999+10.1*2.079+11.91*2.192+11.24*1.154+5.15*1.574)/$H636</f>
      </c>
      <c r="L636" s="13">
        <f>(0.21*1.06+0.2*6.999+0.24*2.079+0.26*2.192+0.14*1.154+0.08*1.574)/$H636</f>
      </c>
      <c r="M636" s="13">
        <f>(4.52*1.06+4.54*6.999+4.7*2.079+5.64*2.192+3.55*1.154+3.5*1.574)/$H636</f>
      </c>
      <c r="N636" s="15"/>
      <c r="O636" s="16"/>
      <c r="P636" s="13"/>
      <c r="Q636" s="13"/>
      <c r="R636" s="17"/>
      <c r="S636" s="13"/>
      <c r="T636" s="17"/>
      <c r="U636" s="13"/>
      <c r="V636" s="16"/>
      <c r="W636" s="13"/>
      <c r="X636" s="13"/>
      <c r="Y636" s="14"/>
      <c r="Z636" s="2"/>
      <c r="AA636" s="13">
        <f>H636*I636/100</f>
      </c>
      <c r="AB636" s="13">
        <f>H636*J636/100</f>
      </c>
      <c r="AC636" s="15">
        <f>H636*K636</f>
      </c>
      <c r="AD636" s="15">
        <f>H636*M636</f>
      </c>
      <c r="AE636" s="13">
        <f>H636*L636/100</f>
      </c>
      <c r="AF636" s="13">
        <f>AA636+AB636+AE636</f>
      </c>
      <c r="AG636" s="13">
        <f>I636+J636+L636</f>
      </c>
      <c r="AH636" s="18">
        <f>$H636*I636</f>
      </c>
      <c r="AI636" s="18">
        <f>$H636*J636</f>
      </c>
      <c r="AJ636" s="18">
        <f>$H636*K636</f>
      </c>
      <c r="AK636" s="18">
        <f>$H636*L636</f>
      </c>
      <c r="AL636" s="18">
        <f>$H636*M636</f>
      </c>
      <c r="AM636" s="14"/>
      <c r="AN636" s="14"/>
      <c r="AO636" s="14"/>
    </row>
    <row x14ac:dyDescent="0.25" r="637" customHeight="1" ht="17.25">
      <c r="A637" s="2" t="s">
        <v>1272</v>
      </c>
      <c r="B637" s="2" t="s">
        <v>1166</v>
      </c>
      <c r="C637" s="2" t="s">
        <v>56</v>
      </c>
      <c r="D637" s="2" t="s">
        <v>75</v>
      </c>
      <c r="E637" s="2" t="s">
        <v>52</v>
      </c>
      <c r="F637" s="2" t="s">
        <v>80</v>
      </c>
      <c r="G637" s="2" t="s">
        <v>73</v>
      </c>
      <c r="H637" s="13">
        <v>2.3</v>
      </c>
      <c r="I637" s="13">
        <v>0.32</v>
      </c>
      <c r="J637" s="13">
        <v>0.66</v>
      </c>
      <c r="K637" s="13">
        <v>191.8</v>
      </c>
      <c r="L637" s="13"/>
      <c r="M637" s="13"/>
      <c r="N637" s="15"/>
      <c r="O637" s="16"/>
      <c r="P637" s="13"/>
      <c r="Q637" s="13"/>
      <c r="R637" s="17"/>
      <c r="S637" s="13"/>
      <c r="T637" s="17"/>
      <c r="U637" s="13"/>
      <c r="V637" s="16"/>
      <c r="W637" s="13"/>
      <c r="X637" s="13"/>
      <c r="Y637" s="14"/>
      <c r="Z637" s="2"/>
      <c r="AA637" s="13">
        <f>H637*I637/100</f>
      </c>
      <c r="AB637" s="13">
        <f>H637*J637/100</f>
      </c>
      <c r="AC637" s="15">
        <f>H637*K637</f>
      </c>
      <c r="AD637" s="15">
        <f>H637*M637</f>
      </c>
      <c r="AE637" s="13">
        <f>H637*L637/100</f>
      </c>
      <c r="AF637" s="13">
        <f>AA637+AB637+AE637</f>
      </c>
      <c r="AG637" s="13">
        <f>I637+J637+L637</f>
      </c>
      <c r="AH637" s="18">
        <f>$H637*I637</f>
      </c>
      <c r="AI637" s="18">
        <f>$H637*J637</f>
      </c>
      <c r="AJ637" s="18">
        <f>$H637*K637</f>
      </c>
      <c r="AK637" s="18">
        <f>$H637*L637</f>
      </c>
      <c r="AL637" s="18">
        <f>$H637*M637</f>
      </c>
      <c r="AM637" s="14"/>
      <c r="AN637" s="14"/>
      <c r="AO637" s="14"/>
    </row>
    <row x14ac:dyDescent="0.25" r="638" customHeight="1" ht="17.25">
      <c r="A638" s="2" t="s">
        <v>1273</v>
      </c>
      <c r="B638" s="2" t="s">
        <v>1166</v>
      </c>
      <c r="C638" s="2" t="s">
        <v>159</v>
      </c>
      <c r="D638" s="2"/>
      <c r="E638" s="2" t="s">
        <v>52</v>
      </c>
      <c r="F638" s="2" t="s">
        <v>1209</v>
      </c>
      <c r="G638" s="2" t="s">
        <v>617</v>
      </c>
      <c r="H638" s="16">
        <f>0.741387+0.993661</f>
      </c>
      <c r="I638" s="13">
        <f>(0.7*0.741387+0.7*0.993661)/$H638</f>
      </c>
      <c r="J638" s="13">
        <f>(1.5*0.741387+1.6*0.993661)/$H638</f>
      </c>
      <c r="K638" s="17">
        <f>(60*0.741387+54*0.993661)/$H638</f>
      </c>
      <c r="L638" s="13"/>
      <c r="M638" s="13"/>
      <c r="N638" s="15"/>
      <c r="O638" s="16"/>
      <c r="P638" s="13"/>
      <c r="Q638" s="13"/>
      <c r="R638" s="17"/>
      <c r="S638" s="13"/>
      <c r="T638" s="17"/>
      <c r="U638" s="13"/>
      <c r="V638" s="16"/>
      <c r="W638" s="13"/>
      <c r="X638" s="13"/>
      <c r="Y638" s="14"/>
      <c r="Z638" s="2"/>
      <c r="AA638" s="13">
        <f>H638*I638/100</f>
      </c>
      <c r="AB638" s="13">
        <f>H638*J638/100</f>
      </c>
      <c r="AC638" s="15">
        <f>H638*K638</f>
      </c>
      <c r="AD638" s="15">
        <f>H638*M638</f>
      </c>
      <c r="AE638" s="13">
        <f>H638*L638/100</f>
      </c>
      <c r="AF638" s="13">
        <f>AA638+AB638+AE638</f>
      </c>
      <c r="AG638" s="13">
        <f>I638+J638+L638</f>
      </c>
      <c r="AH638" s="18">
        <f>$H638*I638</f>
      </c>
      <c r="AI638" s="18">
        <f>$H638*J638</f>
      </c>
      <c r="AJ638" s="18">
        <f>$H638*K638</f>
      </c>
      <c r="AK638" s="18">
        <f>$H638*L638</f>
      </c>
      <c r="AL638" s="18">
        <f>$H638*M638</f>
      </c>
      <c r="AM638" s="14"/>
      <c r="AN638" s="14"/>
      <c r="AO638" s="14"/>
    </row>
    <row x14ac:dyDescent="0.25" r="639" customHeight="1" ht="17.25">
      <c r="A639" s="2" t="s">
        <v>1274</v>
      </c>
      <c r="B639" s="2" t="s">
        <v>1166</v>
      </c>
      <c r="C639" s="2" t="s">
        <v>50</v>
      </c>
      <c r="D639" s="2"/>
      <c r="E639" s="2" t="s">
        <v>52</v>
      </c>
      <c r="F639" s="2" t="s">
        <v>1275</v>
      </c>
      <c r="G639" s="2" t="s">
        <v>1276</v>
      </c>
      <c r="H639" s="13">
        <f>19.26+2.28</f>
      </c>
      <c r="I639" s="13"/>
      <c r="J639" s="13">
        <f>(1.68*19.26+0.97*2.28)/$H639</f>
      </c>
      <c r="K639" s="15">
        <f>(26.7*19.26+17.4*2.28)/$H639</f>
      </c>
      <c r="L639" s="13"/>
      <c r="M639" s="13"/>
      <c r="N639" s="15"/>
      <c r="O639" s="16"/>
      <c r="P639" s="13"/>
      <c r="Q639" s="13"/>
      <c r="R639" s="17"/>
      <c r="S639" s="13"/>
      <c r="T639" s="17"/>
      <c r="U639" s="13"/>
      <c r="V639" s="16"/>
      <c r="W639" s="13"/>
      <c r="X639" s="13"/>
      <c r="Y639" s="14"/>
      <c r="Z639" s="2"/>
      <c r="AA639" s="13">
        <f>H639*I639/100</f>
      </c>
      <c r="AB639" s="13">
        <f>H639*J639/100</f>
      </c>
      <c r="AC639" s="15">
        <f>H639*K639</f>
      </c>
      <c r="AD639" s="15">
        <f>H639*M639</f>
      </c>
      <c r="AE639" s="13">
        <f>H639*L639/100</f>
      </c>
      <c r="AF639" s="13">
        <f>AA639+AB639+AE639</f>
      </c>
      <c r="AG639" s="13">
        <f>I639+J639+L639</f>
      </c>
      <c r="AH639" s="18">
        <f>$H639*I639</f>
      </c>
      <c r="AI639" s="18">
        <f>$H639*J639</f>
      </c>
      <c r="AJ639" s="18">
        <f>$H639*K639</f>
      </c>
      <c r="AK639" s="18">
        <f>$H639*L639</f>
      </c>
      <c r="AL639" s="18">
        <f>$H639*M639</f>
      </c>
      <c r="AM639" s="14"/>
      <c r="AN639" s="14"/>
      <c r="AO639" s="14"/>
    </row>
    <row x14ac:dyDescent="0.25" r="640" customHeight="1" ht="17.25">
      <c r="A640" s="2" t="s">
        <v>1277</v>
      </c>
      <c r="B640" s="2" t="s">
        <v>1166</v>
      </c>
      <c r="C640" s="2" t="s">
        <v>159</v>
      </c>
      <c r="D640" s="2"/>
      <c r="E640" s="2" t="s">
        <v>52</v>
      </c>
      <c r="F640" s="2" t="s">
        <v>1250</v>
      </c>
      <c r="G640" s="2" t="s">
        <v>628</v>
      </c>
      <c r="H640" s="13">
        <f>5.124+14.788+3.331</f>
      </c>
      <c r="I640" s="13">
        <f>(0.93*5.124+0.56*14.788+0.58*3.331)/$H640</f>
      </c>
      <c r="J640" s="13">
        <f>(2.1*5.124+1.37*14.788+0.18*3.331)/$H640</f>
      </c>
      <c r="K640" s="15">
        <f>(72.9*5.124+57.6*14.788+56.1*3.331)/$H640</f>
      </c>
      <c r="L640" s="13">
        <f>(0.06*5.124+0.1*14.788+0.08*3.331)/$H640</f>
      </c>
      <c r="M640" s="13">
        <f>(0.14*5.124+0.1*14.788+0.16*3.331)/$H640</f>
      </c>
      <c r="N640" s="15"/>
      <c r="O640" s="16"/>
      <c r="P640" s="13"/>
      <c r="Q640" s="13"/>
      <c r="R640" s="17"/>
      <c r="S640" s="13"/>
      <c r="T640" s="17"/>
      <c r="U640" s="13"/>
      <c r="V640" s="16"/>
      <c r="W640" s="13"/>
      <c r="X640" s="13"/>
      <c r="Y640" s="14"/>
      <c r="Z640" s="2"/>
      <c r="AA640" s="13">
        <f>H640*I640/100</f>
      </c>
      <c r="AB640" s="13">
        <f>H640*J640/100</f>
      </c>
      <c r="AC640" s="15">
        <f>H640*K640</f>
      </c>
      <c r="AD640" s="15">
        <f>H640*M640</f>
      </c>
      <c r="AE640" s="13">
        <f>H640*L640/100</f>
      </c>
      <c r="AF640" s="13">
        <f>AA640+AB640+AE640</f>
      </c>
      <c r="AG640" s="13">
        <f>I640+J640+L640</f>
      </c>
      <c r="AH640" s="18">
        <f>$H640*I640</f>
      </c>
      <c r="AI640" s="18">
        <f>$H640*J640</f>
      </c>
      <c r="AJ640" s="18">
        <f>$H640*K640</f>
      </c>
      <c r="AK640" s="18">
        <f>$H640*L640</f>
      </c>
      <c r="AL640" s="18">
        <f>$H640*M640</f>
      </c>
      <c r="AM640" s="14"/>
      <c r="AN640" s="14"/>
      <c r="AO640" s="14"/>
    </row>
    <row x14ac:dyDescent="0.25" r="641" customHeight="1" ht="17.25">
      <c r="A641" s="2" t="s">
        <v>1278</v>
      </c>
      <c r="B641" s="2" t="s">
        <v>1166</v>
      </c>
      <c r="C641" s="2" t="s">
        <v>56</v>
      </c>
      <c r="D641" s="2" t="s">
        <v>1247</v>
      </c>
      <c r="E641" s="2" t="s">
        <v>52</v>
      </c>
      <c r="F641" s="2" t="s">
        <v>1279</v>
      </c>
      <c r="G641" s="2" t="s">
        <v>617</v>
      </c>
      <c r="H641" s="16">
        <f>(1.994+3.549)*0.9072</f>
      </c>
      <c r="I641" s="15">
        <f>(0.8*1.994+0.6*3.549)/(1.994+3.549)</f>
      </c>
      <c r="J641" s="15">
        <f>(1*1.994+0.9*3.549)/(1.994+3.549)</f>
      </c>
      <c r="K641" s="17">
        <f>((6.6*1.994+3.8*3.549)/(1.994+3.549))*31.1/0.9072</f>
      </c>
      <c r="L641" s="13"/>
      <c r="M641" s="15">
        <f>((0.06*1.994+0.03*3.549)/(1.994+3.549))*31.1/0.9072</f>
      </c>
      <c r="N641" s="15"/>
      <c r="O641" s="16"/>
      <c r="P641" s="13"/>
      <c r="Q641" s="13"/>
      <c r="R641" s="17"/>
      <c r="S641" s="13"/>
      <c r="T641" s="17"/>
      <c r="U641" s="13"/>
      <c r="V641" s="16"/>
      <c r="W641" s="13"/>
      <c r="X641" s="13"/>
      <c r="Y641" s="14"/>
      <c r="Z641" s="2"/>
      <c r="AA641" s="13">
        <f>H641*I641/100</f>
      </c>
      <c r="AB641" s="13">
        <f>H641*J641/100</f>
      </c>
      <c r="AC641" s="15">
        <f>H641*K641</f>
      </c>
      <c r="AD641" s="15">
        <f>H641*M641</f>
      </c>
      <c r="AE641" s="13">
        <f>H641*L641/100</f>
      </c>
      <c r="AF641" s="13">
        <f>AA641+AB641+AE641</f>
      </c>
      <c r="AG641" s="13">
        <f>I641+J641+L641</f>
      </c>
      <c r="AH641" s="18">
        <f>$H641*I641</f>
      </c>
      <c r="AI641" s="18">
        <f>$H641*J641</f>
      </c>
      <c r="AJ641" s="18">
        <f>$H641*K641</f>
      </c>
      <c r="AK641" s="18">
        <f>$H641*L641</f>
      </c>
      <c r="AL641" s="18">
        <f>$H641*M641</f>
      </c>
      <c r="AM641" s="14"/>
      <c r="AN641" s="14"/>
      <c r="AO641" s="14"/>
    </row>
    <row x14ac:dyDescent="0.25" r="642" customHeight="1" ht="17.25">
      <c r="A642" s="2" t="s">
        <v>1280</v>
      </c>
      <c r="B642" s="2" t="s">
        <v>1166</v>
      </c>
      <c r="C642" s="2" t="s">
        <v>40</v>
      </c>
      <c r="D642" s="2" t="s">
        <v>41</v>
      </c>
      <c r="E642" s="2" t="s">
        <v>52</v>
      </c>
      <c r="F642" s="2" t="s">
        <v>1281</v>
      </c>
      <c r="G642" s="2" t="s">
        <v>1282</v>
      </c>
      <c r="H642" s="13">
        <v>94.5</v>
      </c>
      <c r="I642" s="13"/>
      <c r="J642" s="13">
        <v>1.27</v>
      </c>
      <c r="K642" s="13">
        <v>58.7</v>
      </c>
      <c r="L642" s="13"/>
      <c r="M642" s="13"/>
      <c r="N642" s="15"/>
      <c r="O642" s="16"/>
      <c r="P642" s="13"/>
      <c r="Q642" s="13"/>
      <c r="R642" s="17"/>
      <c r="S642" s="13"/>
      <c r="T642" s="17"/>
      <c r="U642" s="13"/>
      <c r="V642" s="16"/>
      <c r="W642" s="13"/>
      <c r="X642" s="13"/>
      <c r="Y642" s="14"/>
      <c r="Z642" s="2"/>
      <c r="AA642" s="13">
        <f>H642*I642/100</f>
      </c>
      <c r="AB642" s="13">
        <f>H642*J642/100</f>
      </c>
      <c r="AC642" s="15">
        <f>H642*K642</f>
      </c>
      <c r="AD642" s="15">
        <f>H642*M642</f>
      </c>
      <c r="AE642" s="13">
        <f>H642*L642/100</f>
      </c>
      <c r="AF642" s="13">
        <f>AA642+AB642+AE642</f>
      </c>
      <c r="AG642" s="13">
        <f>I642+J642+L642</f>
      </c>
      <c r="AH642" s="18">
        <f>$H642*I642</f>
      </c>
      <c r="AI642" s="18">
        <f>$H642*J642</f>
      </c>
      <c r="AJ642" s="18">
        <f>$H642*K642</f>
      </c>
      <c r="AK642" s="18">
        <f>$H642*L642</f>
      </c>
      <c r="AL642" s="18">
        <f>$H642*M642</f>
      </c>
      <c r="AM642" s="14"/>
      <c r="AN642" s="14"/>
      <c r="AO642" s="14"/>
    </row>
    <row x14ac:dyDescent="0.25" r="643" customHeight="1" ht="17.25">
      <c r="A643" s="2" t="s">
        <v>1283</v>
      </c>
      <c r="B643" s="2" t="s">
        <v>1166</v>
      </c>
      <c r="C643" s="2" t="s">
        <v>1284</v>
      </c>
      <c r="D643" s="2" t="s">
        <v>1285</v>
      </c>
      <c r="E643" s="2" t="s">
        <v>52</v>
      </c>
      <c r="F643" s="2" t="s">
        <v>1185</v>
      </c>
      <c r="G643" s="2" t="s">
        <v>1169</v>
      </c>
      <c r="H643" s="13">
        <v>48.765</v>
      </c>
      <c r="I643" s="13">
        <v>0.957</v>
      </c>
      <c r="J643" s="13">
        <v>2.882</v>
      </c>
      <c r="K643" s="14"/>
      <c r="L643" s="13">
        <v>0.487</v>
      </c>
      <c r="M643" s="13"/>
      <c r="N643" s="15"/>
      <c r="O643" s="16"/>
      <c r="P643" s="13"/>
      <c r="Q643" s="13"/>
      <c r="R643" s="17"/>
      <c r="S643" s="13"/>
      <c r="T643" s="17"/>
      <c r="U643" s="13"/>
      <c r="V643" s="16"/>
      <c r="W643" s="13"/>
      <c r="X643" s="13"/>
      <c r="Y643" s="14"/>
      <c r="Z643" s="2"/>
      <c r="AA643" s="13">
        <f>H643*I643/100</f>
      </c>
      <c r="AB643" s="13">
        <f>H643*J643/100</f>
      </c>
      <c r="AC643" s="15">
        <f>H643*K643</f>
      </c>
      <c r="AD643" s="15">
        <f>H643*M643</f>
      </c>
      <c r="AE643" s="13">
        <f>H643*L643/100</f>
      </c>
      <c r="AF643" s="13">
        <f>AA643+AB643+AE643</f>
      </c>
      <c r="AG643" s="13">
        <f>I643+J643+L643</f>
      </c>
      <c r="AH643" s="18">
        <f>$H643*I643</f>
      </c>
      <c r="AI643" s="18">
        <f>$H643*J643</f>
      </c>
      <c r="AJ643" s="18">
        <f>$H643*K643</f>
      </c>
      <c r="AK643" s="18">
        <f>$H643*L643</f>
      </c>
      <c r="AL643" s="18">
        <f>$H643*M643</f>
      </c>
      <c r="AM643" s="14"/>
      <c r="AN643" s="14"/>
      <c r="AO643" s="14"/>
    </row>
    <row x14ac:dyDescent="0.25" r="644" customHeight="1" ht="17.25">
      <c r="A644" s="2" t="s">
        <v>1286</v>
      </c>
      <c r="B644" s="2" t="s">
        <v>1166</v>
      </c>
      <c r="C644" s="2" t="s">
        <v>1287</v>
      </c>
      <c r="D644" s="2"/>
      <c r="E644" s="2" t="s">
        <v>52</v>
      </c>
      <c r="F644" s="2" t="s">
        <v>1288</v>
      </c>
      <c r="G644" s="2" t="s">
        <v>136</v>
      </c>
      <c r="H644" s="13">
        <f>60.956+24.637+1.567+3.48</f>
      </c>
      <c r="I644" s="13"/>
      <c r="J644" s="13">
        <f>(0.51*60.956+2.97*24.637+0.27*1.567+5.01*3.48)/$H644</f>
      </c>
      <c r="K644" s="14"/>
      <c r="L644" s="13">
        <f>(0.34*60.956+0.28*24.637+0.35*1.567+0.36*3.48)/$H644</f>
      </c>
      <c r="M644" s="13"/>
      <c r="N644" s="15"/>
      <c r="O644" s="16"/>
      <c r="P644" s="13"/>
      <c r="Q644" s="13"/>
      <c r="R644" s="17"/>
      <c r="S644" s="13"/>
      <c r="T644" s="17"/>
      <c r="U644" s="13"/>
      <c r="V644" s="16"/>
      <c r="W644" s="13"/>
      <c r="X644" s="13"/>
      <c r="Y644" s="14"/>
      <c r="Z644" s="2"/>
      <c r="AA644" s="13">
        <f>H644*I644/100</f>
      </c>
      <c r="AB644" s="13">
        <f>H644*J644/100</f>
      </c>
      <c r="AC644" s="15">
        <f>H644*K644</f>
      </c>
      <c r="AD644" s="15">
        <f>H644*M644</f>
      </c>
      <c r="AE644" s="13">
        <f>H644*L644/100</f>
      </c>
      <c r="AF644" s="13">
        <f>AA644+AB644+AE644</f>
      </c>
      <c r="AG644" s="13">
        <f>I644+J644+L644</f>
      </c>
      <c r="AH644" s="18">
        <f>$H644*I644</f>
      </c>
      <c r="AI644" s="18">
        <f>$H644*J644</f>
      </c>
      <c r="AJ644" s="18">
        <f>$H644*K644</f>
      </c>
      <c r="AK644" s="18">
        <f>$H644*L644</f>
      </c>
      <c r="AL644" s="18">
        <f>$H644*M644</f>
      </c>
      <c r="AM644" s="14"/>
      <c r="AN644" s="14"/>
      <c r="AO644" s="14"/>
    </row>
    <row x14ac:dyDescent="0.25" r="645" customHeight="1" ht="17.25">
      <c r="A645" s="2" t="s">
        <v>1289</v>
      </c>
      <c r="B645" s="2" t="s">
        <v>1166</v>
      </c>
      <c r="C645" s="2" t="s">
        <v>50</v>
      </c>
      <c r="D645" s="2"/>
      <c r="E645" s="2" t="s">
        <v>52</v>
      </c>
      <c r="F645" s="2" t="s">
        <v>1177</v>
      </c>
      <c r="G645" s="2" t="s">
        <v>108</v>
      </c>
      <c r="H645" s="13">
        <v>10.873</v>
      </c>
      <c r="I645" s="13">
        <v>1.36</v>
      </c>
      <c r="J645" s="13">
        <v>5.38</v>
      </c>
      <c r="K645" s="15">
        <v>221.21</v>
      </c>
      <c r="L645" s="13">
        <v>0.31</v>
      </c>
      <c r="M645" s="13">
        <v>1.82</v>
      </c>
      <c r="N645" s="15"/>
      <c r="O645" s="16"/>
      <c r="P645" s="13"/>
      <c r="Q645" s="13"/>
      <c r="R645" s="17"/>
      <c r="S645" s="13"/>
      <c r="T645" s="17"/>
      <c r="U645" s="13"/>
      <c r="V645" s="16"/>
      <c r="W645" s="13"/>
      <c r="X645" s="13"/>
      <c r="Y645" s="14"/>
      <c r="Z645" s="2"/>
      <c r="AA645" s="13">
        <f>H645*I645/100</f>
      </c>
      <c r="AB645" s="13">
        <f>H645*J645/100</f>
      </c>
      <c r="AC645" s="15">
        <f>H645*K645</f>
      </c>
      <c r="AD645" s="15">
        <f>H645*M645</f>
      </c>
      <c r="AE645" s="13">
        <f>H645*L645/100</f>
      </c>
      <c r="AF645" s="13">
        <f>AA645+AB645+AE645</f>
      </c>
      <c r="AG645" s="13">
        <f>I645+J645+L645</f>
      </c>
      <c r="AH645" s="18">
        <f>$H645*I645</f>
      </c>
      <c r="AI645" s="18">
        <f>$H645*J645</f>
      </c>
      <c r="AJ645" s="18">
        <f>$H645*K645</f>
      </c>
      <c r="AK645" s="18">
        <f>$H645*L645</f>
      </c>
      <c r="AL645" s="18">
        <f>$H645*M645</f>
      </c>
      <c r="AM645" s="14"/>
      <c r="AN645" s="14"/>
      <c r="AO645" s="14"/>
    </row>
    <row x14ac:dyDescent="0.25" r="646" customHeight="1" ht="17.25">
      <c r="A646" s="2" t="s">
        <v>1290</v>
      </c>
      <c r="B646" s="2" t="s">
        <v>1166</v>
      </c>
      <c r="C646" s="2" t="s">
        <v>56</v>
      </c>
      <c r="D646" s="2" t="s">
        <v>75</v>
      </c>
      <c r="E646" s="2" t="s">
        <v>52</v>
      </c>
      <c r="F646" s="2" t="s">
        <v>1291</v>
      </c>
      <c r="G646" s="2" t="s">
        <v>73</v>
      </c>
      <c r="H646" s="16">
        <f>0.0604+0.0954+0.273</f>
      </c>
      <c r="I646" s="13">
        <f>(6.73*0.0604+6.33*0.0954+5.7*0.273)/$H646</f>
      </c>
      <c r="J646" s="15">
        <f>(5.2*0.0604+3.7*0.0954+3.9*0.273)/$H646</f>
      </c>
      <c r="K646" s="17">
        <f>(801*0.0604+809*0.0954+837*0.273)/$H646</f>
      </c>
      <c r="L646" s="13"/>
      <c r="M646" s="13"/>
      <c r="N646" s="15"/>
      <c r="O646" s="16"/>
      <c r="P646" s="13"/>
      <c r="Q646" s="13"/>
      <c r="R646" s="17"/>
      <c r="S646" s="13"/>
      <c r="T646" s="17"/>
      <c r="U646" s="13"/>
      <c r="V646" s="16"/>
      <c r="W646" s="13"/>
      <c r="X646" s="13"/>
      <c r="Y646" s="14"/>
      <c r="Z646" s="2"/>
      <c r="AA646" s="13">
        <f>H646*I646/100</f>
      </c>
      <c r="AB646" s="13">
        <f>H646*J646/100</f>
      </c>
      <c r="AC646" s="15">
        <f>H646*K646</f>
      </c>
      <c r="AD646" s="15">
        <f>H646*M646</f>
      </c>
      <c r="AE646" s="13">
        <f>H646*L646/100</f>
      </c>
      <c r="AF646" s="13">
        <f>AA646+AB646+AE646</f>
      </c>
      <c r="AG646" s="13">
        <f>I646+J646+L646</f>
      </c>
      <c r="AH646" s="18">
        <f>$H646*I646</f>
      </c>
      <c r="AI646" s="18">
        <f>$H646*J646</f>
      </c>
      <c r="AJ646" s="18">
        <f>$H646*K646</f>
      </c>
      <c r="AK646" s="18">
        <f>$H646*L646</f>
      </c>
      <c r="AL646" s="18">
        <f>$H646*M646</f>
      </c>
      <c r="AM646" s="14"/>
      <c r="AN646" s="14"/>
      <c r="AO646" s="14"/>
    </row>
    <row x14ac:dyDescent="0.25" r="647" customHeight="1" ht="17.25">
      <c r="A647" s="2" t="s">
        <v>1292</v>
      </c>
      <c r="B647" s="2" t="s">
        <v>1166</v>
      </c>
      <c r="C647" s="2" t="s">
        <v>159</v>
      </c>
      <c r="D647" s="2"/>
      <c r="E647" s="2" t="s">
        <v>52</v>
      </c>
      <c r="F647" s="2" t="s">
        <v>1177</v>
      </c>
      <c r="G647" s="2" t="s">
        <v>108</v>
      </c>
      <c r="H647" s="13">
        <v>29.938</v>
      </c>
      <c r="I647" s="13">
        <v>0.48</v>
      </c>
      <c r="J647" s="13">
        <v>4.21</v>
      </c>
      <c r="K647" s="13">
        <v>26.48</v>
      </c>
      <c r="L647" s="13">
        <v>0.17</v>
      </c>
      <c r="M647" s="13">
        <v>0.25</v>
      </c>
      <c r="N647" s="15"/>
      <c r="O647" s="16"/>
      <c r="P647" s="13"/>
      <c r="Q647" s="13"/>
      <c r="R647" s="17"/>
      <c r="S647" s="13"/>
      <c r="T647" s="17"/>
      <c r="U647" s="13"/>
      <c r="V647" s="16"/>
      <c r="W647" s="13"/>
      <c r="X647" s="13"/>
      <c r="Y647" s="14"/>
      <c r="Z647" s="2"/>
      <c r="AA647" s="13">
        <f>H647*I647/100</f>
      </c>
      <c r="AB647" s="13">
        <f>H647*J647/100</f>
      </c>
      <c r="AC647" s="15">
        <f>H647*K647</f>
      </c>
      <c r="AD647" s="15">
        <f>H647*M647</f>
      </c>
      <c r="AE647" s="13">
        <f>H647*L647/100</f>
      </c>
      <c r="AF647" s="13">
        <f>AA647+AB647+AE647</f>
      </c>
      <c r="AG647" s="13">
        <f>I647+J647+L647</f>
      </c>
      <c r="AH647" s="18">
        <f>$H647*I647</f>
      </c>
      <c r="AI647" s="18">
        <f>$H647*J647</f>
      </c>
      <c r="AJ647" s="18">
        <f>$H647*K647</f>
      </c>
      <c r="AK647" s="18">
        <f>$H647*L647</f>
      </c>
      <c r="AL647" s="18">
        <f>$H647*M647</f>
      </c>
      <c r="AM647" s="14"/>
      <c r="AN647" s="14"/>
      <c r="AO647" s="14"/>
    </row>
    <row x14ac:dyDescent="0.25" r="648" customHeight="1" ht="17.25">
      <c r="A648" s="2" t="s">
        <v>1293</v>
      </c>
      <c r="B648" s="2" t="s">
        <v>1166</v>
      </c>
      <c r="C648" s="2" t="s">
        <v>159</v>
      </c>
      <c r="D648" s="2"/>
      <c r="E648" s="2" t="s">
        <v>52</v>
      </c>
      <c r="F648" s="2" t="s">
        <v>1294</v>
      </c>
      <c r="G648" s="2" t="s">
        <v>1169</v>
      </c>
      <c r="H648" s="13">
        <f>0.679+1.279+0.091+0.089</f>
      </c>
      <c r="I648" s="13">
        <f>(1.16*0.679+0.95*1.279+2.95*0.091+3.04*0.089)/$H648</f>
      </c>
      <c r="J648" s="13">
        <f>(1.03*0.679+1.18*1.279+2.55*0.091+2.56*0.089)/$H648</f>
      </c>
      <c r="K648" s="17">
        <f>(182*0.679+204*1.279+147*0.091+200*0.089)/$H648</f>
      </c>
      <c r="L648" s="13"/>
      <c r="M648" s="13">
        <f>(3.69*0.679+3.48*1.279+3.14*0.091+2.25*0.089)/$H648</f>
      </c>
      <c r="N648" s="15"/>
      <c r="O648" s="16"/>
      <c r="P648" s="13"/>
      <c r="Q648" s="13"/>
      <c r="R648" s="17"/>
      <c r="S648" s="13"/>
      <c r="T648" s="17"/>
      <c r="U648" s="13"/>
      <c r="V648" s="16"/>
      <c r="W648" s="13"/>
      <c r="X648" s="13"/>
      <c r="Y648" s="14"/>
      <c r="Z648" s="2"/>
      <c r="AA648" s="13">
        <f>H648*I648/100</f>
      </c>
      <c r="AB648" s="13">
        <f>H648*J648/100</f>
      </c>
      <c r="AC648" s="15">
        <f>H648*K648</f>
      </c>
      <c r="AD648" s="15">
        <f>H648*M648</f>
      </c>
      <c r="AE648" s="13">
        <f>H648*L648/100</f>
      </c>
      <c r="AF648" s="13">
        <f>AA648+AB648+AE648</f>
      </c>
      <c r="AG648" s="13">
        <f>I648+J648+L648</f>
      </c>
      <c r="AH648" s="18">
        <f>$H648*I648</f>
      </c>
      <c r="AI648" s="18">
        <f>$H648*J648</f>
      </c>
      <c r="AJ648" s="18">
        <f>$H648*K648</f>
      </c>
      <c r="AK648" s="18">
        <f>$H648*L648</f>
      </c>
      <c r="AL648" s="18">
        <f>$H648*M648</f>
      </c>
      <c r="AM648" s="14"/>
      <c r="AN648" s="14"/>
      <c r="AO648" s="14"/>
    </row>
    <row x14ac:dyDescent="0.25" r="649" customHeight="1" ht="17.25">
      <c r="A649" s="2" t="s">
        <v>1295</v>
      </c>
      <c r="B649" s="2" t="s">
        <v>1296</v>
      </c>
      <c r="C649" s="2" t="s">
        <v>40</v>
      </c>
      <c r="D649" s="2" t="s">
        <v>64</v>
      </c>
      <c r="E649" s="2" t="s">
        <v>52</v>
      </c>
      <c r="F649" s="2" t="s">
        <v>1297</v>
      </c>
      <c r="G649" s="2" t="s">
        <v>108</v>
      </c>
      <c r="H649" s="13">
        <v>2.51</v>
      </c>
      <c r="I649" s="13">
        <v>3.17</v>
      </c>
      <c r="J649" s="13">
        <v>3.84</v>
      </c>
      <c r="K649" s="15">
        <f>(16.51*1.63)/H649</f>
      </c>
      <c r="L649" s="13">
        <v>0.31</v>
      </c>
      <c r="M649" s="13"/>
      <c r="N649" s="15"/>
      <c r="O649" s="16"/>
      <c r="P649" s="13"/>
      <c r="Q649" s="13"/>
      <c r="R649" s="17"/>
      <c r="S649" s="13"/>
      <c r="T649" s="17"/>
      <c r="U649" s="13"/>
      <c r="V649" s="16"/>
      <c r="W649" s="13"/>
      <c r="X649" s="13"/>
      <c r="Y649" s="14"/>
      <c r="Z649" s="2"/>
      <c r="AA649" s="13">
        <f>H649*I649/100</f>
      </c>
      <c r="AB649" s="13">
        <f>H649*J649/100</f>
      </c>
      <c r="AC649" s="15">
        <f>H649*K649</f>
      </c>
      <c r="AD649" s="15">
        <f>H649*M649</f>
      </c>
      <c r="AE649" s="13">
        <f>H649*L649/100</f>
      </c>
      <c r="AF649" s="13">
        <f>AA649+AB649+AE649</f>
      </c>
      <c r="AG649" s="13">
        <f>I649+J649+L649</f>
      </c>
      <c r="AH649" s="18">
        <f>$H649*I649</f>
      </c>
      <c r="AI649" s="18">
        <f>$H649*J649</f>
      </c>
      <c r="AJ649" s="18">
        <f>$H649*K649</f>
      </c>
      <c r="AK649" s="18">
        <f>$H649*L649</f>
      </c>
      <c r="AL649" s="18">
        <f>$H649*M649</f>
      </c>
      <c r="AM649" s="14"/>
      <c r="AN649" s="14"/>
      <c r="AO649" s="14"/>
    </row>
    <row x14ac:dyDescent="0.25" r="650" customHeight="1" ht="17.25">
      <c r="A650" s="2" t="s">
        <v>1298</v>
      </c>
      <c r="B650" s="2" t="s">
        <v>1296</v>
      </c>
      <c r="C650" s="2" t="s">
        <v>40</v>
      </c>
      <c r="D650" s="2" t="s">
        <v>64</v>
      </c>
      <c r="E650" s="2" t="s">
        <v>52</v>
      </c>
      <c r="F650" s="2" t="s">
        <v>1297</v>
      </c>
      <c r="G650" s="2" t="s">
        <v>108</v>
      </c>
      <c r="H650" s="13">
        <v>1.9</v>
      </c>
      <c r="I650" s="13">
        <v>1.51</v>
      </c>
      <c r="J650" s="13">
        <v>2.98</v>
      </c>
      <c r="K650" s="14"/>
      <c r="L650" s="13">
        <v>0.26</v>
      </c>
      <c r="M650" s="13"/>
      <c r="N650" s="15"/>
      <c r="O650" s="16"/>
      <c r="P650" s="13"/>
      <c r="Q650" s="13"/>
      <c r="R650" s="17"/>
      <c r="S650" s="13"/>
      <c r="T650" s="17"/>
      <c r="U650" s="13"/>
      <c r="V650" s="16"/>
      <c r="W650" s="13"/>
      <c r="X650" s="13"/>
      <c r="Y650" s="14"/>
      <c r="Z650" s="2"/>
      <c r="AA650" s="13">
        <f>H650*I650/100</f>
      </c>
      <c r="AB650" s="13">
        <f>H650*J650/100</f>
      </c>
      <c r="AC650" s="15">
        <f>H650*K650</f>
      </c>
      <c r="AD650" s="15">
        <f>H650*M650</f>
      </c>
      <c r="AE650" s="13">
        <f>H650*L650/100</f>
      </c>
      <c r="AF650" s="13">
        <f>AA650+AB650+AE650</f>
      </c>
      <c r="AG650" s="13">
        <f>I650+J650+L650</f>
      </c>
      <c r="AH650" s="18">
        <f>$H650*I650</f>
      </c>
      <c r="AI650" s="18">
        <f>$H650*J650</f>
      </c>
      <c r="AJ650" s="18">
        <f>$H650*K650</f>
      </c>
      <c r="AK650" s="18">
        <f>$H650*L650</f>
      </c>
      <c r="AL650" s="18">
        <f>$H650*M650</f>
      </c>
      <c r="AM650" s="14"/>
      <c r="AN650" s="14"/>
      <c r="AO650" s="14"/>
    </row>
    <row x14ac:dyDescent="0.25" r="651" customHeight="1" ht="17.25">
      <c r="A651" s="2" t="s">
        <v>1299</v>
      </c>
      <c r="B651" s="2" t="s">
        <v>1296</v>
      </c>
      <c r="C651" s="2" t="s">
        <v>40</v>
      </c>
      <c r="D651" s="2" t="s">
        <v>64</v>
      </c>
      <c r="E651" s="2" t="s">
        <v>52</v>
      </c>
      <c r="F651" s="2" t="s">
        <v>1297</v>
      </c>
      <c r="G651" s="2" t="s">
        <v>108</v>
      </c>
      <c r="H651" s="13">
        <v>4.74</v>
      </c>
      <c r="I651" s="13">
        <v>0.11</v>
      </c>
      <c r="J651" s="13">
        <v>4.06</v>
      </c>
      <c r="K651" s="14"/>
      <c r="L651" s="13">
        <v>0.3</v>
      </c>
      <c r="M651" s="13"/>
      <c r="N651" s="15"/>
      <c r="O651" s="16"/>
      <c r="P651" s="13"/>
      <c r="Q651" s="13"/>
      <c r="R651" s="17"/>
      <c r="S651" s="13"/>
      <c r="T651" s="17"/>
      <c r="U651" s="13"/>
      <c r="V651" s="16"/>
      <c r="W651" s="13"/>
      <c r="X651" s="13"/>
      <c r="Y651" s="14"/>
      <c r="Z651" s="2"/>
      <c r="AA651" s="13">
        <f>H651*I651/100</f>
      </c>
      <c r="AB651" s="13">
        <f>H651*J651/100</f>
      </c>
      <c r="AC651" s="15">
        <f>H651*K651</f>
      </c>
      <c r="AD651" s="15">
        <f>H651*M651</f>
      </c>
      <c r="AE651" s="13">
        <f>H651*L651/100</f>
      </c>
      <c r="AF651" s="13">
        <f>AA651+AB651+AE651</f>
      </c>
      <c r="AG651" s="13">
        <f>I651+J651+L651</f>
      </c>
      <c r="AH651" s="18">
        <f>$H651*I651</f>
      </c>
      <c r="AI651" s="18">
        <f>$H651*J651</f>
      </c>
      <c r="AJ651" s="18">
        <f>$H651*K651</f>
      </c>
      <c r="AK651" s="18">
        <f>$H651*L651</f>
      </c>
      <c r="AL651" s="18">
        <f>$H651*M651</f>
      </c>
      <c r="AM651" s="14"/>
      <c r="AN651" s="14"/>
      <c r="AO651" s="14"/>
    </row>
    <row x14ac:dyDescent="0.25" r="652" customHeight="1" ht="17.25">
      <c r="A652" s="2" t="s">
        <v>1300</v>
      </c>
      <c r="B652" s="2" t="s">
        <v>1301</v>
      </c>
      <c r="C652" s="2" t="s">
        <v>56</v>
      </c>
      <c r="D652" s="2" t="s">
        <v>1302</v>
      </c>
      <c r="E652" s="12" t="s">
        <v>42</v>
      </c>
      <c r="F652" s="2" t="s">
        <v>1303</v>
      </c>
      <c r="G652" s="2" t="s">
        <v>431</v>
      </c>
      <c r="H652" s="16">
        <v>3.83897</v>
      </c>
      <c r="I652" s="13">
        <v>0.86</v>
      </c>
      <c r="J652" s="13">
        <v>3.9</v>
      </c>
      <c r="K652" s="14">
        <v>203</v>
      </c>
      <c r="L652" s="13"/>
      <c r="M652" s="13">
        <v>3.6</v>
      </c>
      <c r="N652" s="15"/>
      <c r="O652" s="16"/>
      <c r="P652" s="13"/>
      <c r="Q652" s="13"/>
      <c r="R652" s="17"/>
      <c r="S652" s="13"/>
      <c r="T652" s="17"/>
      <c r="U652" s="13"/>
      <c r="V652" s="16"/>
      <c r="W652" s="13"/>
      <c r="X652" s="13"/>
      <c r="Y652" s="14"/>
      <c r="Z652" s="2"/>
      <c r="AA652" s="13">
        <f>H652*I652/100</f>
      </c>
      <c r="AB652" s="13">
        <f>H652*J652/100</f>
      </c>
      <c r="AC652" s="15">
        <f>H652*K652</f>
      </c>
      <c r="AD652" s="15">
        <f>H652*M652</f>
      </c>
      <c r="AE652" s="13">
        <f>H652*L652/100</f>
      </c>
      <c r="AF652" s="13">
        <f>AA652+AB652+AE652</f>
      </c>
      <c r="AG652" s="13">
        <f>I652+J652+L652</f>
      </c>
      <c r="AH652" s="18">
        <f>$H652*I652</f>
      </c>
      <c r="AI652" s="18">
        <f>$H652*J652</f>
      </c>
      <c r="AJ652" s="18">
        <f>$H652*K652</f>
      </c>
      <c r="AK652" s="18">
        <f>$H652*L652</f>
      </c>
      <c r="AL652" s="18">
        <f>$H652*M652</f>
      </c>
      <c r="AM652" s="14"/>
      <c r="AN652" s="14"/>
      <c r="AO652" s="14"/>
    </row>
    <row x14ac:dyDescent="0.25" r="653" customHeight="1" ht="17.25">
      <c r="A653" s="2" t="s">
        <v>1304</v>
      </c>
      <c r="B653" s="2" t="s">
        <v>1301</v>
      </c>
      <c r="C653" s="2" t="s">
        <v>40</v>
      </c>
      <c r="D653" s="2" t="s">
        <v>41</v>
      </c>
      <c r="E653" s="12" t="s">
        <v>42</v>
      </c>
      <c r="F653" s="2" t="s">
        <v>1305</v>
      </c>
      <c r="G653" s="2" t="s">
        <v>1306</v>
      </c>
      <c r="H653" s="14">
        <v>19</v>
      </c>
      <c r="I653" s="14">
        <v>2</v>
      </c>
      <c r="J653" s="14">
        <v>7</v>
      </c>
      <c r="K653" s="14"/>
      <c r="L653" s="13">
        <v>0.5</v>
      </c>
      <c r="M653" s="13"/>
      <c r="N653" s="15"/>
      <c r="O653" s="16"/>
      <c r="P653" s="13"/>
      <c r="Q653" s="13"/>
      <c r="R653" s="17"/>
      <c r="S653" s="13"/>
      <c r="T653" s="17"/>
      <c r="U653" s="13"/>
      <c r="V653" s="16"/>
      <c r="W653" s="13"/>
      <c r="X653" s="13"/>
      <c r="Y653" s="14"/>
      <c r="Z653" s="2"/>
      <c r="AA653" s="13">
        <f>H653*I653/100</f>
      </c>
      <c r="AB653" s="13">
        <f>H653*J653/100</f>
      </c>
      <c r="AC653" s="15">
        <f>H653*K653</f>
      </c>
      <c r="AD653" s="15">
        <f>H653*M653</f>
      </c>
      <c r="AE653" s="13">
        <f>H653*L653/100</f>
      </c>
      <c r="AF653" s="13">
        <f>AA653+AB653+AE653</f>
      </c>
      <c r="AG653" s="13">
        <f>I653+J653+L653</f>
      </c>
      <c r="AH653" s="18">
        <f>$H653*I653</f>
      </c>
      <c r="AI653" s="18">
        <f>$H653*J653</f>
      </c>
      <c r="AJ653" s="18">
        <f>$H653*K653</f>
      </c>
      <c r="AK653" s="18">
        <f>$H653*L653</f>
      </c>
      <c r="AL653" s="18">
        <f>$H653*M653</f>
      </c>
      <c r="AM653" s="14"/>
      <c r="AN653" s="14"/>
      <c r="AO653" s="14"/>
    </row>
    <row x14ac:dyDescent="0.25" r="654" customHeight="1" ht="17.25">
      <c r="A654" s="2" t="s">
        <v>1307</v>
      </c>
      <c r="B654" s="2" t="s">
        <v>1301</v>
      </c>
      <c r="C654" s="2" t="s">
        <v>159</v>
      </c>
      <c r="D654" s="2"/>
      <c r="E654" s="2" t="s">
        <v>52</v>
      </c>
      <c r="F654" s="2" t="s">
        <v>1308</v>
      </c>
      <c r="G654" s="2" t="s">
        <v>1309</v>
      </c>
      <c r="H654" s="13">
        <f>5.05+4.933+5.898</f>
      </c>
      <c r="I654" s="13">
        <f>(6.79*5.05+7.44*4.933+6.98*5.898)/$H654</f>
      </c>
      <c r="J654" s="13">
        <f>(0.97*5.05+1.27*4.933+1.66*5.898)/$H654</f>
      </c>
      <c r="K654" s="15">
        <f>(121.8*5.05+133*4.933+131.1*5.898)/$H654</f>
      </c>
      <c r="L654" s="13"/>
      <c r="M654" s="13"/>
      <c r="N654" s="15"/>
      <c r="O654" s="16"/>
      <c r="P654" s="13"/>
      <c r="Q654" s="13"/>
      <c r="R654" s="17"/>
      <c r="S654" s="13"/>
      <c r="T654" s="17"/>
      <c r="U654" s="13"/>
      <c r="V654" s="16"/>
      <c r="W654" s="13"/>
      <c r="X654" s="13"/>
      <c r="Y654" s="14"/>
      <c r="Z654" s="2"/>
      <c r="AA654" s="13">
        <f>H654*I654/100</f>
      </c>
      <c r="AB654" s="13">
        <f>H654*J654/100</f>
      </c>
      <c r="AC654" s="15">
        <f>H654*K654</f>
      </c>
      <c r="AD654" s="15">
        <f>H654*M654</f>
      </c>
      <c r="AE654" s="13">
        <f>H654*L654/100</f>
      </c>
      <c r="AF654" s="13">
        <f>AA654+AB654+AE654</f>
      </c>
      <c r="AG654" s="13">
        <f>I654+J654+L654</f>
      </c>
      <c r="AH654" s="18">
        <f>$H654*I654</f>
      </c>
      <c r="AI654" s="18">
        <f>$H654*J654</f>
      </c>
      <c r="AJ654" s="18">
        <f>$H654*K654</f>
      </c>
      <c r="AK654" s="18">
        <f>$H654*L654</f>
      </c>
      <c r="AL654" s="18">
        <f>$H654*M654</f>
      </c>
      <c r="AM654" s="14"/>
      <c r="AN654" s="14"/>
      <c r="AO654" s="14"/>
    </row>
    <row x14ac:dyDescent="0.25" r="655" customHeight="1" ht="17.25">
      <c r="A655" s="2" t="s">
        <v>1310</v>
      </c>
      <c r="B655" s="2" t="s">
        <v>1311</v>
      </c>
      <c r="C655" s="2" t="s">
        <v>40</v>
      </c>
      <c r="D655" s="2" t="s">
        <v>41</v>
      </c>
      <c r="E655" s="2" t="s">
        <v>52</v>
      </c>
      <c r="F655" s="2" t="s">
        <v>1312</v>
      </c>
      <c r="G655" s="2" t="s">
        <v>431</v>
      </c>
      <c r="H655" s="16">
        <v>1.3396</v>
      </c>
      <c r="I655" s="13">
        <v>3.69</v>
      </c>
      <c r="J655" s="13">
        <v>14.74</v>
      </c>
      <c r="K655" s="13">
        <v>8.7</v>
      </c>
      <c r="L655" s="13"/>
      <c r="M655" s="13"/>
      <c r="N655" s="15"/>
      <c r="O655" s="16"/>
      <c r="P655" s="13"/>
      <c r="Q655" s="13"/>
      <c r="R655" s="17"/>
      <c r="S655" s="13"/>
      <c r="T655" s="17"/>
      <c r="U655" s="13"/>
      <c r="V655" s="16"/>
      <c r="W655" s="13"/>
      <c r="X655" s="16">
        <f>0.329*(2*50.9415/(2*50.9415+5*16))</f>
      </c>
      <c r="Y655" s="16"/>
      <c r="Z655" s="2"/>
      <c r="AA655" s="13">
        <f>H655*I655/100</f>
      </c>
      <c r="AB655" s="13">
        <f>H655*J655/100</f>
      </c>
      <c r="AC655" s="15">
        <f>H655*K655</f>
      </c>
      <c r="AD655" s="15">
        <f>H655*M655</f>
      </c>
      <c r="AE655" s="13">
        <f>H655*L655/100</f>
      </c>
      <c r="AF655" s="13">
        <f>AA655+AB655+AE655</f>
      </c>
      <c r="AG655" s="13">
        <f>I655+J655+L655</f>
      </c>
      <c r="AH655" s="18">
        <f>$H655*I655</f>
      </c>
      <c r="AI655" s="18">
        <f>$H655*J655</f>
      </c>
      <c r="AJ655" s="18">
        <f>$H655*K655</f>
      </c>
      <c r="AK655" s="18">
        <f>$H655*L655</f>
      </c>
      <c r="AL655" s="18">
        <f>$H655*M655</f>
      </c>
      <c r="AM655" s="14"/>
      <c r="AN655" s="14"/>
      <c r="AO655" s="14"/>
    </row>
    <row x14ac:dyDescent="0.25" r="656" customHeight="1" ht="17.25">
      <c r="A656" s="2" t="s">
        <v>1313</v>
      </c>
      <c r="B656" s="2" t="s">
        <v>1311</v>
      </c>
      <c r="C656" s="2" t="s">
        <v>40</v>
      </c>
      <c r="D656" s="2" t="s">
        <v>64</v>
      </c>
      <c r="E656" s="12" t="s">
        <v>42</v>
      </c>
      <c r="F656" s="2" t="s">
        <v>1314</v>
      </c>
      <c r="G656" s="2" t="s">
        <v>877</v>
      </c>
      <c r="H656" s="13">
        <v>17.5</v>
      </c>
      <c r="I656" s="13">
        <v>2.3</v>
      </c>
      <c r="J656" s="13">
        <v>8.6</v>
      </c>
      <c r="K656" s="14"/>
      <c r="L656" s="13"/>
      <c r="M656" s="13"/>
      <c r="N656" s="15"/>
      <c r="O656" s="16"/>
      <c r="P656" s="13"/>
      <c r="Q656" s="13"/>
      <c r="R656" s="17"/>
      <c r="S656" s="13"/>
      <c r="T656" s="17"/>
      <c r="U656" s="13"/>
      <c r="V656" s="16"/>
      <c r="W656" s="13"/>
      <c r="X656" s="13"/>
      <c r="Y656" s="14"/>
      <c r="Z656" s="2"/>
      <c r="AA656" s="13">
        <f>H656*I656/100</f>
      </c>
      <c r="AB656" s="13">
        <f>H656*J656/100</f>
      </c>
      <c r="AC656" s="15">
        <f>H656*K656</f>
      </c>
      <c r="AD656" s="15">
        <f>H656*M656</f>
      </c>
      <c r="AE656" s="13">
        <f>H656*L656/100</f>
      </c>
      <c r="AF656" s="13">
        <f>AA656+AB656+AE656</f>
      </c>
      <c r="AG656" s="13">
        <f>I656+J656+L656</f>
      </c>
      <c r="AH656" s="18">
        <f>$H656*I656</f>
      </c>
      <c r="AI656" s="18">
        <f>$H656*J656</f>
      </c>
      <c r="AJ656" s="18">
        <f>$H656*K656</f>
      </c>
      <c r="AK656" s="18">
        <f>$H656*L656</f>
      </c>
      <c r="AL656" s="18">
        <f>$H656*M656</f>
      </c>
      <c r="AM656" s="14"/>
      <c r="AN656" s="14"/>
      <c r="AO656" s="14"/>
    </row>
    <row x14ac:dyDescent="0.25" r="657" customHeight="1" ht="17.25">
      <c r="A657" s="2" t="s">
        <v>1315</v>
      </c>
      <c r="B657" s="2" t="s">
        <v>1311</v>
      </c>
      <c r="C657" s="2" t="s">
        <v>40</v>
      </c>
      <c r="D657" s="2" t="s">
        <v>64</v>
      </c>
      <c r="E657" s="2" t="s">
        <v>52</v>
      </c>
      <c r="F657" s="2" t="s">
        <v>1316</v>
      </c>
      <c r="G657" s="2" t="s">
        <v>108</v>
      </c>
      <c r="H657" s="13">
        <v>0.917</v>
      </c>
      <c r="I657" s="13">
        <v>2.4</v>
      </c>
      <c r="J657" s="13">
        <v>5.7</v>
      </c>
      <c r="K657" s="13">
        <v>44.8</v>
      </c>
      <c r="L657" s="13"/>
      <c r="M657" s="13"/>
      <c r="N657" s="15"/>
      <c r="O657" s="16"/>
      <c r="P657" s="13"/>
      <c r="Q657" s="13"/>
      <c r="R657" s="17">
        <f>(5.7/6.6)*33</f>
      </c>
      <c r="S657" s="13"/>
      <c r="T657" s="17"/>
      <c r="U657" s="13"/>
      <c r="V657" s="16"/>
      <c r="W657" s="13"/>
      <c r="X657" s="13"/>
      <c r="Y657" s="14"/>
      <c r="Z657" s="2"/>
      <c r="AA657" s="13">
        <f>H657*I657/100</f>
      </c>
      <c r="AB657" s="13">
        <f>H657*J657/100</f>
      </c>
      <c r="AC657" s="15">
        <f>H657*K657</f>
      </c>
      <c r="AD657" s="15">
        <f>H657*M657</f>
      </c>
      <c r="AE657" s="13">
        <f>H657*L657/100</f>
      </c>
      <c r="AF657" s="13">
        <f>AA657+AB657+AE657</f>
      </c>
      <c r="AG657" s="13">
        <f>I657+J657+L657</f>
      </c>
      <c r="AH657" s="18">
        <f>$H657*I657</f>
      </c>
      <c r="AI657" s="18">
        <f>$H657*J657</f>
      </c>
      <c r="AJ657" s="18">
        <f>$H657*K657</f>
      </c>
      <c r="AK657" s="18">
        <f>$H657*L657</f>
      </c>
      <c r="AL657" s="18">
        <f>$H657*M657</f>
      </c>
      <c r="AM657" s="14"/>
      <c r="AN657" s="14"/>
      <c r="AO657" s="14"/>
    </row>
    <row x14ac:dyDescent="0.25" r="658" customHeight="1" ht="17.25">
      <c r="A658" s="2" t="s">
        <v>1317</v>
      </c>
      <c r="B658" s="2" t="s">
        <v>1311</v>
      </c>
      <c r="C658" s="21" t="s">
        <v>1318</v>
      </c>
      <c r="D658" s="2"/>
      <c r="E658" s="21" t="s">
        <v>198</v>
      </c>
      <c r="F658" s="2" t="s">
        <v>1316</v>
      </c>
      <c r="G658" s="2" t="s">
        <v>108</v>
      </c>
      <c r="H658" s="13">
        <v>0.61</v>
      </c>
      <c r="I658" s="13">
        <v>0.3</v>
      </c>
      <c r="J658" s="13">
        <v>2.1</v>
      </c>
      <c r="K658" s="13">
        <v>7.6</v>
      </c>
      <c r="L658" s="13"/>
      <c r="M658" s="13"/>
      <c r="N658" s="15"/>
      <c r="O658" s="16"/>
      <c r="P658" s="13"/>
      <c r="Q658" s="13"/>
      <c r="R658" s="17"/>
      <c r="S658" s="13"/>
      <c r="T658" s="17"/>
      <c r="U658" s="13"/>
      <c r="V658" s="16"/>
      <c r="W658" s="13"/>
      <c r="X658" s="13"/>
      <c r="Y658" s="14"/>
      <c r="Z658" s="2"/>
      <c r="AA658" s="13">
        <f>H658*I658/100</f>
      </c>
      <c r="AB658" s="13">
        <f>H658*J658/100</f>
      </c>
      <c r="AC658" s="15">
        <f>H658*K658</f>
      </c>
      <c r="AD658" s="15">
        <f>H658*M658</f>
      </c>
      <c r="AE658" s="13">
        <f>H658*L658/100</f>
      </c>
      <c r="AF658" s="13">
        <f>AA658+AB658+AE658</f>
      </c>
      <c r="AG658" s="13">
        <f>I658+J658+L658</f>
      </c>
      <c r="AH658" s="18">
        <f>$H658*I658</f>
      </c>
      <c r="AI658" s="18">
        <f>$H658*J658</f>
      </c>
      <c r="AJ658" s="18">
        <f>$H658*K658</f>
      </c>
      <c r="AK658" s="18">
        <f>$H658*L658</f>
      </c>
      <c r="AL658" s="18">
        <f>$H658*M658</f>
      </c>
      <c r="AM658" s="14"/>
      <c r="AN658" s="14"/>
      <c r="AO658" s="14"/>
    </row>
    <row x14ac:dyDescent="0.25" r="659" customHeight="1" ht="17.25">
      <c r="A659" s="2" t="s">
        <v>1319</v>
      </c>
      <c r="B659" s="2" t="s">
        <v>1311</v>
      </c>
      <c r="C659" s="2" t="s">
        <v>40</v>
      </c>
      <c r="D659" s="2" t="s">
        <v>64</v>
      </c>
      <c r="E659" s="2" t="s">
        <v>52</v>
      </c>
      <c r="F659" s="2" t="s">
        <v>65</v>
      </c>
      <c r="G659" s="2" t="s">
        <v>66</v>
      </c>
      <c r="H659" s="13">
        <f>2.62+7.5+4.5</f>
      </c>
      <c r="I659" s="13">
        <f>(2.26*2.62+1.8*7.5+1*4.5)/$H659</f>
      </c>
      <c r="J659" s="15">
        <f>(8.15*2.62+7.8*7.5+7*4.5)/$H659</f>
      </c>
      <c r="K659" s="17">
        <f>(47*2.62+33*7.5+40*4.5)/$H659</f>
      </c>
      <c r="L659" s="13"/>
      <c r="M659" s="13"/>
      <c r="N659" s="15"/>
      <c r="O659" s="16"/>
      <c r="P659" s="13"/>
      <c r="Q659" s="13"/>
      <c r="R659" s="17"/>
      <c r="S659" s="13"/>
      <c r="T659" s="17"/>
      <c r="U659" s="13"/>
      <c r="V659" s="16"/>
      <c r="W659" s="13"/>
      <c r="X659" s="13"/>
      <c r="Y659" s="14"/>
      <c r="Z659" s="2"/>
      <c r="AA659" s="13">
        <f>H659*I659/100</f>
      </c>
      <c r="AB659" s="13">
        <f>H659*J659/100</f>
      </c>
      <c r="AC659" s="15">
        <f>H659*K659</f>
      </c>
      <c r="AD659" s="15">
        <f>H659*M659</f>
      </c>
      <c r="AE659" s="13">
        <f>H659*L659/100</f>
      </c>
      <c r="AF659" s="13">
        <f>AA659+AB659+AE659</f>
      </c>
      <c r="AG659" s="13">
        <f>I659+J659+L659</f>
      </c>
      <c r="AH659" s="18">
        <f>$H659*I659</f>
      </c>
      <c r="AI659" s="18">
        <f>$H659*J659</f>
      </c>
      <c r="AJ659" s="18">
        <f>$H659*K659</f>
      </c>
      <c r="AK659" s="18">
        <f>$H659*L659</f>
      </c>
      <c r="AL659" s="18">
        <f>$H659*M659</f>
      </c>
      <c r="AM659" s="14"/>
      <c r="AN659" s="14"/>
      <c r="AO659" s="14"/>
    </row>
    <row x14ac:dyDescent="0.25" r="660" customHeight="1" ht="17.25">
      <c r="A660" s="2" t="s">
        <v>1320</v>
      </c>
      <c r="B660" s="2" t="s">
        <v>1311</v>
      </c>
      <c r="C660" s="2" t="s">
        <v>50</v>
      </c>
      <c r="D660" s="2" t="s">
        <v>1140</v>
      </c>
      <c r="E660" s="2" t="s">
        <v>52</v>
      </c>
      <c r="F660" s="2" t="s">
        <v>1115</v>
      </c>
      <c r="G660" s="2" t="s">
        <v>1016</v>
      </c>
      <c r="H660" s="13">
        <f>3.6+3.5</f>
      </c>
      <c r="I660" s="13"/>
      <c r="J660" s="13">
        <f>(10.2*3.6+9.13*3.5)/H660</f>
      </c>
      <c r="K660" s="14"/>
      <c r="L660" s="13"/>
      <c r="M660" s="13"/>
      <c r="N660" s="15"/>
      <c r="O660" s="16"/>
      <c r="P660" s="13"/>
      <c r="Q660" s="13"/>
      <c r="R660" s="17"/>
      <c r="S660" s="13"/>
      <c r="T660" s="17"/>
      <c r="U660" s="13"/>
      <c r="V660" s="16"/>
      <c r="W660" s="13"/>
      <c r="X660" s="13"/>
      <c r="Y660" s="14"/>
      <c r="Z660" s="2"/>
      <c r="AA660" s="13">
        <f>H660*I660/100</f>
      </c>
      <c r="AB660" s="13">
        <f>H660*J660/100</f>
      </c>
      <c r="AC660" s="15">
        <f>H660*K660</f>
      </c>
      <c r="AD660" s="15">
        <f>H660*M660</f>
      </c>
      <c r="AE660" s="13">
        <f>H660*L660/100</f>
      </c>
      <c r="AF660" s="13">
        <f>AA660+AB660+AE660</f>
      </c>
      <c r="AG660" s="13">
        <f>I660+J660+L660</f>
      </c>
      <c r="AH660" s="18">
        <f>$H660*I660</f>
      </c>
      <c r="AI660" s="18">
        <f>$H660*J660</f>
      </c>
      <c r="AJ660" s="18">
        <f>$H660*K660</f>
      </c>
      <c r="AK660" s="18">
        <f>$H660*L660</f>
      </c>
      <c r="AL660" s="18">
        <f>$H660*M660</f>
      </c>
      <c r="AM660" s="14"/>
      <c r="AN660" s="14"/>
      <c r="AO660" s="14"/>
    </row>
    <row x14ac:dyDescent="0.25" r="661" customHeight="1" ht="17.25">
      <c r="A661" s="2" t="s">
        <v>1321</v>
      </c>
      <c r="B661" s="2" t="s">
        <v>1311</v>
      </c>
      <c r="C661" s="2" t="s">
        <v>40</v>
      </c>
      <c r="D661" s="2" t="s">
        <v>169</v>
      </c>
      <c r="E661" s="2" t="s">
        <v>52</v>
      </c>
      <c r="F661" s="2" t="s">
        <v>43</v>
      </c>
      <c r="G661" s="2" t="s">
        <v>1322</v>
      </c>
      <c r="H661" s="13">
        <v>5.8</v>
      </c>
      <c r="I661" s="13">
        <v>6.4</v>
      </c>
      <c r="J661" s="13">
        <v>0.8</v>
      </c>
      <c r="K661" s="14">
        <v>47</v>
      </c>
      <c r="L661" s="13">
        <v>0.4</v>
      </c>
      <c r="M661" s="13"/>
      <c r="N661" s="15"/>
      <c r="O661" s="16"/>
      <c r="P661" s="13"/>
      <c r="Q661" s="13"/>
      <c r="R661" s="17"/>
      <c r="S661" s="13"/>
      <c r="T661" s="17"/>
      <c r="U661" s="13"/>
      <c r="V661" s="16"/>
      <c r="W661" s="13"/>
      <c r="X661" s="13"/>
      <c r="Y661" s="14"/>
      <c r="Z661" s="2"/>
      <c r="AA661" s="13">
        <f>H661*I661/100</f>
      </c>
      <c r="AB661" s="13">
        <f>H661*J661/100</f>
      </c>
      <c r="AC661" s="15">
        <f>H661*K661</f>
      </c>
      <c r="AD661" s="15">
        <f>H661*M661</f>
      </c>
      <c r="AE661" s="13">
        <f>H661*L661/100</f>
      </c>
      <c r="AF661" s="13">
        <f>AA661+AB661+AE661</f>
      </c>
      <c r="AG661" s="13">
        <f>I661+J661+L661</f>
      </c>
      <c r="AH661" s="18">
        <f>$H661*I661</f>
      </c>
      <c r="AI661" s="18">
        <f>$H661*J661</f>
      </c>
      <c r="AJ661" s="18">
        <f>$H661*K661</f>
      </c>
      <c r="AK661" s="18">
        <f>$H661*L661</f>
      </c>
      <c r="AL661" s="18">
        <f>$H661*M661</f>
      </c>
      <c r="AM661" s="14"/>
      <c r="AN661" s="14"/>
      <c r="AO661" s="14"/>
    </row>
    <row x14ac:dyDescent="0.25" r="662" customHeight="1" ht="17.25">
      <c r="A662" s="2" t="s">
        <v>1323</v>
      </c>
      <c r="B662" s="2" t="s">
        <v>1311</v>
      </c>
      <c r="C662" s="21" t="s">
        <v>1318</v>
      </c>
      <c r="D662" s="2" t="s">
        <v>363</v>
      </c>
      <c r="E662" s="21" t="s">
        <v>198</v>
      </c>
      <c r="F662" s="2" t="s">
        <v>1324</v>
      </c>
      <c r="G662" s="2" t="s">
        <v>431</v>
      </c>
      <c r="H662" s="14">
        <v>12</v>
      </c>
      <c r="I662" s="13">
        <v>0.77</v>
      </c>
      <c r="J662" s="13">
        <v>0.63</v>
      </c>
      <c r="K662" s="13">
        <v>12.74</v>
      </c>
      <c r="L662" s="13">
        <v>0.48</v>
      </c>
      <c r="M662" s="13"/>
      <c r="N662" s="15"/>
      <c r="O662" s="16"/>
      <c r="P662" s="13"/>
      <c r="Q662" s="13"/>
      <c r="R662" s="17"/>
      <c r="S662" s="13"/>
      <c r="T662" s="17"/>
      <c r="U662" s="13"/>
      <c r="V662" s="16"/>
      <c r="W662" s="13"/>
      <c r="X662" s="13"/>
      <c r="Y662" s="14"/>
      <c r="Z662" s="2"/>
      <c r="AA662" s="13">
        <f>H662*I662/100</f>
      </c>
      <c r="AB662" s="13">
        <f>H662*J662/100</f>
      </c>
      <c r="AC662" s="15">
        <f>H662*K662</f>
      </c>
      <c r="AD662" s="15">
        <f>H662*M662</f>
      </c>
      <c r="AE662" s="13">
        <f>H662*L662/100</f>
      </c>
      <c r="AF662" s="13">
        <f>AA662+AB662+AE662</f>
      </c>
      <c r="AG662" s="13">
        <f>I662+J662+L662</f>
      </c>
      <c r="AH662" s="18">
        <f>$H662*I662</f>
      </c>
      <c r="AI662" s="18">
        <f>$H662*J662</f>
      </c>
      <c r="AJ662" s="18">
        <f>$H662*K662</f>
      </c>
      <c r="AK662" s="18">
        <f>$H662*L662</f>
      </c>
      <c r="AL662" s="18">
        <f>$H662*M662</f>
      </c>
      <c r="AM662" s="14"/>
      <c r="AN662" s="14"/>
      <c r="AO662" s="14"/>
    </row>
    <row x14ac:dyDescent="0.25" r="663" customHeight="1" ht="17.25">
      <c r="A663" s="2" t="s">
        <v>1325</v>
      </c>
      <c r="B663" s="2" t="s">
        <v>1326</v>
      </c>
      <c r="C663" s="2" t="s">
        <v>40</v>
      </c>
      <c r="D663" s="2" t="s">
        <v>64</v>
      </c>
      <c r="E663" s="12" t="s">
        <v>42</v>
      </c>
      <c r="F663" s="2" t="s">
        <v>43</v>
      </c>
      <c r="G663" s="2" t="s">
        <v>1327</v>
      </c>
      <c r="H663" s="13">
        <v>1.3</v>
      </c>
      <c r="I663" s="13">
        <v>2.13</v>
      </c>
      <c r="J663" s="13">
        <v>13.35</v>
      </c>
      <c r="K663" s="14">
        <v>27</v>
      </c>
      <c r="L663" s="13"/>
      <c r="M663" s="13"/>
      <c r="N663" s="15"/>
      <c r="O663" s="16"/>
      <c r="P663" s="13"/>
      <c r="Q663" s="13"/>
      <c r="R663" s="17"/>
      <c r="S663" s="13"/>
      <c r="T663" s="17"/>
      <c r="U663" s="13"/>
      <c r="V663" s="16"/>
      <c r="W663" s="13"/>
      <c r="X663" s="13"/>
      <c r="Y663" s="14"/>
      <c r="Z663" s="2"/>
      <c r="AA663" s="13">
        <f>H663*I663/100</f>
      </c>
      <c r="AB663" s="13">
        <f>H663*J663/100</f>
      </c>
      <c r="AC663" s="15">
        <f>H663*K663</f>
      </c>
      <c r="AD663" s="15">
        <f>H663*M663</f>
      </c>
      <c r="AE663" s="13">
        <f>H663*L663/100</f>
      </c>
      <c r="AF663" s="13">
        <f>AA663+AB663+AE663</f>
      </c>
      <c r="AG663" s="13">
        <f>I663+J663+L663</f>
      </c>
      <c r="AH663" s="18">
        <f>$H663*I663</f>
      </c>
      <c r="AI663" s="18">
        <f>$H663*J663</f>
      </c>
      <c r="AJ663" s="18">
        <f>$H663*K663</f>
      </c>
      <c r="AK663" s="18">
        <f>$H663*L663</f>
      </c>
      <c r="AL663" s="18">
        <f>$H663*M663</f>
      </c>
      <c r="AM663" s="14"/>
      <c r="AN663" s="14"/>
      <c r="AO663" s="14"/>
    </row>
    <row x14ac:dyDescent="0.25" r="664" customHeight="1" ht="17.25">
      <c r="A664" s="2" t="s">
        <v>1328</v>
      </c>
      <c r="B664" s="2" t="s">
        <v>1326</v>
      </c>
      <c r="C664" s="2" t="s">
        <v>40</v>
      </c>
      <c r="D664" s="2" t="s">
        <v>64</v>
      </c>
      <c r="E664" s="12" t="s">
        <v>42</v>
      </c>
      <c r="F664" s="2" t="s">
        <v>43</v>
      </c>
      <c r="G664" s="2" t="s">
        <v>1327</v>
      </c>
      <c r="H664" s="13">
        <v>1.1</v>
      </c>
      <c r="I664" s="13">
        <v>4.05</v>
      </c>
      <c r="J664" s="13">
        <v>16.25</v>
      </c>
      <c r="K664" s="13">
        <v>19.43</v>
      </c>
      <c r="L664" s="13"/>
      <c r="M664" s="13"/>
      <c r="N664" s="15"/>
      <c r="O664" s="16"/>
      <c r="P664" s="13"/>
      <c r="Q664" s="13"/>
      <c r="R664" s="17"/>
      <c r="S664" s="13"/>
      <c r="T664" s="17"/>
      <c r="U664" s="13"/>
      <c r="V664" s="16"/>
      <c r="W664" s="13"/>
      <c r="X664" s="13"/>
      <c r="Y664" s="14"/>
      <c r="Z664" s="2"/>
      <c r="AA664" s="13">
        <f>H664*I664/100</f>
      </c>
      <c r="AB664" s="13">
        <f>H664*J664/100</f>
      </c>
      <c r="AC664" s="15">
        <f>H664*K664</f>
      </c>
      <c r="AD664" s="15">
        <f>H664*M664</f>
      </c>
      <c r="AE664" s="13">
        <f>H664*L664/100</f>
      </c>
      <c r="AF664" s="13">
        <f>AA664+AB664+AE664</f>
      </c>
      <c r="AG664" s="13">
        <f>I664+J664+L664</f>
      </c>
      <c r="AH664" s="18">
        <f>$H664*I664</f>
      </c>
      <c r="AI664" s="18">
        <f>$H664*J664</f>
      </c>
      <c r="AJ664" s="18">
        <f>$H664*K664</f>
      </c>
      <c r="AK664" s="18">
        <f>$H664*L664</f>
      </c>
      <c r="AL664" s="18">
        <f>$H664*M664</f>
      </c>
      <c r="AM664" s="14"/>
      <c r="AN664" s="14"/>
      <c r="AO664" s="14"/>
    </row>
    <row x14ac:dyDescent="0.25" r="665" customHeight="1" ht="17.25">
      <c r="A665" s="2" t="s">
        <v>1329</v>
      </c>
      <c r="B665" s="2" t="s">
        <v>1330</v>
      </c>
      <c r="C665" s="2" t="s">
        <v>68</v>
      </c>
      <c r="D665" s="2"/>
      <c r="E665" s="12" t="s">
        <v>42</v>
      </c>
      <c r="F665" s="2" t="s">
        <v>1331</v>
      </c>
      <c r="G665" s="2" t="s">
        <v>1332</v>
      </c>
      <c r="H665" s="14">
        <v>160</v>
      </c>
      <c r="I665" s="13">
        <v>3.2</v>
      </c>
      <c r="J665" s="13">
        <v>3.6</v>
      </c>
      <c r="K665" s="14">
        <v>180</v>
      </c>
      <c r="L665" s="13">
        <v>1.5</v>
      </c>
      <c r="M665" s="13">
        <v>0.6</v>
      </c>
      <c r="N665" s="15"/>
      <c r="O665" s="16"/>
      <c r="P665" s="13"/>
      <c r="Q665" s="13"/>
      <c r="R665" s="17"/>
      <c r="S665" s="13"/>
      <c r="T665" s="17"/>
      <c r="U665" s="13"/>
      <c r="V665" s="16"/>
      <c r="W665" s="13"/>
      <c r="X665" s="13"/>
      <c r="Y665" s="14"/>
      <c r="Z665" s="2"/>
      <c r="AA665" s="13">
        <f>H665*I665/100</f>
      </c>
      <c r="AB665" s="13">
        <f>H665*J665/100</f>
      </c>
      <c r="AC665" s="15">
        <f>H665*K665</f>
      </c>
      <c r="AD665" s="15">
        <f>H665*M665</f>
      </c>
      <c r="AE665" s="13">
        <f>H665*L665/100</f>
      </c>
      <c r="AF665" s="13">
        <f>AA665+AB665+AE665</f>
      </c>
      <c r="AG665" s="13">
        <f>I665+J665+L665</f>
      </c>
      <c r="AH665" s="18">
        <f>$H665*I665</f>
      </c>
      <c r="AI665" s="18">
        <f>$H665*J665</f>
      </c>
      <c r="AJ665" s="18">
        <f>$H665*K665</f>
      </c>
      <c r="AK665" s="18">
        <f>$H665*L665</f>
      </c>
      <c r="AL665" s="18">
        <f>$H665*M665</f>
      </c>
      <c r="AM665" s="14"/>
      <c r="AN665" s="14"/>
      <c r="AO665" s="14"/>
    </row>
    <row x14ac:dyDescent="0.25" r="666" customHeight="1" ht="17.25">
      <c r="A666" s="2" t="s">
        <v>1333</v>
      </c>
      <c r="B666" s="2" t="s">
        <v>1330</v>
      </c>
      <c r="C666" s="2" t="s">
        <v>40</v>
      </c>
      <c r="D666" s="2" t="s">
        <v>41</v>
      </c>
      <c r="E666" s="12" t="s">
        <v>42</v>
      </c>
      <c r="F666" s="2" t="s">
        <v>1331</v>
      </c>
      <c r="G666" s="2" t="s">
        <v>1332</v>
      </c>
      <c r="H666" s="14">
        <v>266</v>
      </c>
      <c r="I666" s="13">
        <v>0.88</v>
      </c>
      <c r="J666" s="13">
        <v>4.21</v>
      </c>
      <c r="K666" s="14"/>
      <c r="L666" s="13"/>
      <c r="M666" s="13"/>
      <c r="N666" s="15"/>
      <c r="O666" s="16"/>
      <c r="P666" s="13"/>
      <c r="Q666" s="13"/>
      <c r="R666" s="17"/>
      <c r="S666" s="13"/>
      <c r="T666" s="17"/>
      <c r="U666" s="13"/>
      <c r="V666" s="16"/>
      <c r="W666" s="13"/>
      <c r="X666" s="13"/>
      <c r="Y666" s="14"/>
      <c r="Z666" s="2"/>
      <c r="AA666" s="13">
        <f>H666*I666/100</f>
      </c>
      <c r="AB666" s="13">
        <f>H666*J666/100</f>
      </c>
      <c r="AC666" s="15">
        <f>H666*K666</f>
      </c>
      <c r="AD666" s="15">
        <f>H666*M666</f>
      </c>
      <c r="AE666" s="13">
        <f>H666*L666/100</f>
      </c>
      <c r="AF666" s="13">
        <f>AA666+AB666+AE666</f>
      </c>
      <c r="AG666" s="13">
        <f>I666+J666+L666</f>
      </c>
      <c r="AH666" s="18">
        <f>$H666*I666</f>
      </c>
      <c r="AI666" s="18">
        <f>$H666*J666</f>
      </c>
      <c r="AJ666" s="18">
        <f>$H666*K666</f>
      </c>
      <c r="AK666" s="18">
        <f>$H666*L666</f>
      </c>
      <c r="AL666" s="18">
        <f>$H666*M666</f>
      </c>
      <c r="AM666" s="14"/>
      <c r="AN666" s="14"/>
      <c r="AO666" s="14"/>
    </row>
    <row x14ac:dyDescent="0.25" r="667" customHeight="1" ht="17.25">
      <c r="A667" s="2" t="s">
        <v>1334</v>
      </c>
      <c r="B667" s="2" t="s">
        <v>1335</v>
      </c>
      <c r="C667" s="2" t="s">
        <v>40</v>
      </c>
      <c r="D667" s="2" t="s">
        <v>64</v>
      </c>
      <c r="E667" s="2" t="s">
        <v>52</v>
      </c>
      <c r="F667" s="2" t="s">
        <v>896</v>
      </c>
      <c r="G667" s="2" t="s">
        <v>897</v>
      </c>
      <c r="H667" s="13">
        <v>14.48</v>
      </c>
      <c r="I667" s="13">
        <v>3.4</v>
      </c>
      <c r="J667" s="13">
        <v>9.9</v>
      </c>
      <c r="K667" s="13">
        <v>19.1</v>
      </c>
      <c r="L667" s="13"/>
      <c r="M667" s="13"/>
      <c r="N667" s="13">
        <v>7.8</v>
      </c>
      <c r="O667" s="16"/>
      <c r="P667" s="13"/>
      <c r="Q667" s="13"/>
      <c r="R667" s="17"/>
      <c r="S667" s="13"/>
      <c r="T667" s="13">
        <v>11.9</v>
      </c>
      <c r="U667" s="13"/>
      <c r="V667" s="16"/>
      <c r="W667" s="13"/>
      <c r="X667" s="13"/>
      <c r="Y667" s="14"/>
      <c r="Z667" s="2"/>
      <c r="AA667" s="13">
        <f>H667*I667/100</f>
      </c>
      <c r="AB667" s="13">
        <f>H667*J667/100</f>
      </c>
      <c r="AC667" s="15">
        <f>H667*K667</f>
      </c>
      <c r="AD667" s="15">
        <f>H667*M667</f>
      </c>
      <c r="AE667" s="13">
        <f>H667*L667/100</f>
      </c>
      <c r="AF667" s="13">
        <f>AA667+AB667+AE667</f>
      </c>
      <c r="AG667" s="13">
        <f>I667+J667+L667</f>
      </c>
      <c r="AH667" s="18">
        <f>$H667*I667</f>
      </c>
      <c r="AI667" s="18">
        <f>$H667*J667</f>
      </c>
      <c r="AJ667" s="18">
        <f>$H667*K667</f>
      </c>
      <c r="AK667" s="18">
        <f>$H667*L667</f>
      </c>
      <c r="AL667" s="18">
        <f>$H667*M667</f>
      </c>
      <c r="AM667" s="14"/>
      <c r="AN667" s="14"/>
      <c r="AO667" s="14"/>
    </row>
    <row x14ac:dyDescent="0.25" r="668" customHeight="1" ht="17.25">
      <c r="A668" s="2" t="s">
        <v>1336</v>
      </c>
      <c r="B668" s="2" t="s">
        <v>1335</v>
      </c>
      <c r="C668" s="2" t="s">
        <v>40</v>
      </c>
      <c r="D668" s="2" t="s">
        <v>64</v>
      </c>
      <c r="E668" s="12" t="s">
        <v>42</v>
      </c>
      <c r="F668" s="2" t="s">
        <v>43</v>
      </c>
      <c r="G668" s="2" t="s">
        <v>44</v>
      </c>
      <c r="H668" s="13">
        <v>9.9</v>
      </c>
      <c r="I668" s="13">
        <v>1.4</v>
      </c>
      <c r="J668" s="13">
        <v>5.4</v>
      </c>
      <c r="K668" s="14"/>
      <c r="L668" s="13"/>
      <c r="M668" s="13"/>
      <c r="N668" s="15"/>
      <c r="O668" s="16"/>
      <c r="P668" s="13"/>
      <c r="Q668" s="13"/>
      <c r="R668" s="17"/>
      <c r="S668" s="13"/>
      <c r="T668" s="17"/>
      <c r="U668" s="13"/>
      <c r="V668" s="16"/>
      <c r="W668" s="13"/>
      <c r="X668" s="13"/>
      <c r="Y668" s="14"/>
      <c r="Z668" s="2"/>
      <c r="AA668" s="13">
        <f>H668*I668/100</f>
      </c>
      <c r="AB668" s="13">
        <f>H668*J668/100</f>
      </c>
      <c r="AC668" s="15">
        <f>H668*K668</f>
      </c>
      <c r="AD668" s="15">
        <f>H668*M668</f>
      </c>
      <c r="AE668" s="13">
        <f>H668*L668/100</f>
      </c>
      <c r="AF668" s="13">
        <f>AA668+AB668+AE668</f>
      </c>
      <c r="AG668" s="13">
        <f>I668+J668+L668</f>
      </c>
      <c r="AH668" s="18">
        <f>$H668*I668</f>
      </c>
      <c r="AI668" s="18">
        <f>$H668*J668</f>
      </c>
      <c r="AJ668" s="18">
        <f>$H668*K668</f>
      </c>
      <c r="AK668" s="18">
        <f>$H668*L668</f>
      </c>
      <c r="AL668" s="18">
        <f>$H668*M668</f>
      </c>
      <c r="AM668" s="14"/>
      <c r="AN668" s="14"/>
      <c r="AO668" s="14"/>
    </row>
    <row x14ac:dyDescent="0.25" r="669" customHeight="1" ht="17.25">
      <c r="A669" s="2" t="s">
        <v>1337</v>
      </c>
      <c r="B669" s="2" t="s">
        <v>1338</v>
      </c>
      <c r="C669" s="2" t="s">
        <v>159</v>
      </c>
      <c r="D669" s="2" t="s">
        <v>1140</v>
      </c>
      <c r="E669" s="2" t="s">
        <v>52</v>
      </c>
      <c r="F669" s="2" t="s">
        <v>1339</v>
      </c>
      <c r="G669" s="2" t="s">
        <v>776</v>
      </c>
      <c r="H669" s="13">
        <f>2.119+4.494+0.197+0.017+0.92+0.553</f>
      </c>
      <c r="I669" s="13">
        <f>(0.93*2.119+0.71*4.494+0.51*0.197+1.66*0.017+0.95*0.92+0.81*0.553)/$H669</f>
      </c>
      <c r="J669" s="13">
        <f>(8.11*2.119+5.55*4.494+4.6*0.197+4.58*0.017+5.58*0.92+5.63*0.553)/$H669</f>
      </c>
      <c r="K669" s="14"/>
      <c r="L669" s="13"/>
      <c r="M669" s="13"/>
      <c r="N669" s="15"/>
      <c r="O669" s="16"/>
      <c r="P669" s="13"/>
      <c r="Q669" s="13"/>
      <c r="R669" s="17"/>
      <c r="S669" s="13"/>
      <c r="T669" s="17"/>
      <c r="U669" s="13"/>
      <c r="V669" s="16"/>
      <c r="W669" s="13"/>
      <c r="X669" s="13"/>
      <c r="Y669" s="14"/>
      <c r="Z669" s="2"/>
      <c r="AA669" s="13">
        <f>H669*I669/100</f>
      </c>
      <c r="AB669" s="13">
        <f>H669*J669/100</f>
      </c>
      <c r="AC669" s="15">
        <f>H669*K669</f>
      </c>
      <c r="AD669" s="15">
        <f>H669*M669</f>
      </c>
      <c r="AE669" s="13">
        <f>H669*L669/100</f>
      </c>
      <c r="AF669" s="13">
        <f>AA669+AB669+AE669</f>
      </c>
      <c r="AG669" s="13">
        <f>I669+J669+L669</f>
      </c>
      <c r="AH669" s="18">
        <f>$H669*I669</f>
      </c>
      <c r="AI669" s="18">
        <f>$H669*J669</f>
      </c>
      <c r="AJ669" s="18">
        <f>$H669*K669</f>
      </c>
      <c r="AK669" s="18">
        <f>$H669*L669</f>
      </c>
      <c r="AL669" s="18">
        <f>$H669*M669</f>
      </c>
      <c r="AM669" s="14"/>
      <c r="AN669" s="14"/>
      <c r="AO669" s="14"/>
    </row>
    <row x14ac:dyDescent="0.25" r="670" customHeight="1" ht="17.25">
      <c r="A670" s="2" t="s">
        <v>1340</v>
      </c>
      <c r="B670" s="2" t="s">
        <v>1338</v>
      </c>
      <c r="C670" s="2" t="s">
        <v>1341</v>
      </c>
      <c r="D670" s="2" t="s">
        <v>1287</v>
      </c>
      <c r="E670" s="2" t="s">
        <v>52</v>
      </c>
      <c r="F670" s="2" t="s">
        <v>1342</v>
      </c>
      <c r="G670" s="2" t="s">
        <v>108</v>
      </c>
      <c r="H670" s="13">
        <f>4.969+3.008+3.031</f>
      </c>
      <c r="I670" s="13">
        <f>(1.04*4.969+0.69*3.008+0.85*3.031)/$H670</f>
      </c>
      <c r="J670" s="13">
        <f>(1.62*4.969+0.99*3.008+1.42*3.031)/$H670</f>
      </c>
      <c r="K670" s="15">
        <f>31.1*(3.92*4.969+1.9*3.008+5.01*3.031)/$H670</f>
      </c>
      <c r="L670" s="13">
        <f>(0.12*4.969+0.06*3.008+0.15*3.031)/$H670</f>
      </c>
      <c r="M670" s="13"/>
      <c r="N670" s="15"/>
      <c r="O670" s="16"/>
      <c r="P670" s="13"/>
      <c r="Q670" s="13"/>
      <c r="R670" s="17"/>
      <c r="S670" s="13"/>
      <c r="T670" s="17"/>
      <c r="U670" s="13"/>
      <c r="V670" s="16"/>
      <c r="W670" s="13"/>
      <c r="X670" s="13"/>
      <c r="Y670" s="14"/>
      <c r="Z670" s="2"/>
      <c r="AA670" s="13">
        <f>H670*I670/100</f>
      </c>
      <c r="AB670" s="13">
        <f>H670*J670/100</f>
      </c>
      <c r="AC670" s="15">
        <f>H670*K670</f>
      </c>
      <c r="AD670" s="15">
        <f>H670*M670</f>
      </c>
      <c r="AE670" s="13">
        <f>H670*L670/100</f>
      </c>
      <c r="AF670" s="13">
        <f>AA670+AB670+AE670</f>
      </c>
      <c r="AG670" s="13">
        <f>I670+J670+L670</f>
      </c>
      <c r="AH670" s="18">
        <f>$H670*I670</f>
      </c>
      <c r="AI670" s="18">
        <f>$H670*J670</f>
      </c>
      <c r="AJ670" s="18">
        <f>$H670*K670</f>
      </c>
      <c r="AK670" s="18">
        <f>$H670*L670</f>
      </c>
      <c r="AL670" s="18">
        <f>$H670*M670</f>
      </c>
      <c r="AM670" s="14"/>
      <c r="AN670" s="14"/>
      <c r="AO670" s="14"/>
    </row>
    <row x14ac:dyDescent="0.25" r="671" customHeight="1" ht="17.25">
      <c r="A671" s="2" t="s">
        <v>1343</v>
      </c>
      <c r="B671" s="2" t="s">
        <v>1338</v>
      </c>
      <c r="C671" s="2" t="s">
        <v>159</v>
      </c>
      <c r="D671" s="2"/>
      <c r="E671" s="2" t="s">
        <v>52</v>
      </c>
      <c r="F671" s="2" t="s">
        <v>1344</v>
      </c>
      <c r="G671" s="2" t="s">
        <v>97</v>
      </c>
      <c r="H671" s="13">
        <v>0.173</v>
      </c>
      <c r="I671" s="13">
        <v>0.38</v>
      </c>
      <c r="J671" s="13">
        <v>4.32</v>
      </c>
      <c r="K671" s="15">
        <v>325.30600000000004</v>
      </c>
      <c r="L671" s="13"/>
      <c r="M671" s="13"/>
      <c r="N671" s="15"/>
      <c r="O671" s="16"/>
      <c r="P671" s="13"/>
      <c r="Q671" s="13"/>
      <c r="R671" s="17"/>
      <c r="S671" s="13"/>
      <c r="T671" s="17"/>
      <c r="U671" s="13"/>
      <c r="V671" s="16"/>
      <c r="W671" s="13"/>
      <c r="X671" s="13"/>
      <c r="Y671" s="14"/>
      <c r="Z671" s="2"/>
      <c r="AA671" s="13">
        <f>H671*I671/100</f>
      </c>
      <c r="AB671" s="13">
        <f>H671*J671/100</f>
      </c>
      <c r="AC671" s="15">
        <f>H671*K671</f>
      </c>
      <c r="AD671" s="15">
        <f>H671*M671</f>
      </c>
      <c r="AE671" s="13">
        <f>H671*L671/100</f>
      </c>
      <c r="AF671" s="13">
        <f>AA671+AB671+AE671</f>
      </c>
      <c r="AG671" s="13">
        <f>I671+J671+L671</f>
      </c>
      <c r="AH671" s="18">
        <f>$H671*I671</f>
      </c>
      <c r="AI671" s="18">
        <f>$H671*J671</f>
      </c>
      <c r="AJ671" s="18">
        <f>$H671*K671</f>
      </c>
      <c r="AK671" s="18">
        <f>$H671*L671</f>
      </c>
      <c r="AL671" s="18">
        <f>$H671*M671</f>
      </c>
      <c r="AM671" s="14"/>
      <c r="AN671" s="14"/>
      <c r="AO671" s="14"/>
    </row>
    <row x14ac:dyDescent="0.25" r="672" customHeight="1" ht="17.25">
      <c r="A672" s="2" t="s">
        <v>1345</v>
      </c>
      <c r="B672" s="2" t="s">
        <v>1338</v>
      </c>
      <c r="C672" s="2" t="s">
        <v>56</v>
      </c>
      <c r="D672" s="2" t="s">
        <v>291</v>
      </c>
      <c r="E672" s="2" t="s">
        <v>52</v>
      </c>
      <c r="F672" s="2" t="s">
        <v>1346</v>
      </c>
      <c r="G672" s="2" t="s">
        <v>456</v>
      </c>
      <c r="H672" s="13">
        <v>519.541</v>
      </c>
      <c r="I672" s="13">
        <v>0.05</v>
      </c>
      <c r="J672" s="13">
        <v>0.19</v>
      </c>
      <c r="K672" s="13">
        <v>7.56</v>
      </c>
      <c r="L672" s="13">
        <v>0.27</v>
      </c>
      <c r="M672" s="13">
        <v>0.35</v>
      </c>
      <c r="N672" s="15"/>
      <c r="O672" s="16"/>
      <c r="P672" s="13"/>
      <c r="Q672" s="13"/>
      <c r="R672" s="17"/>
      <c r="S672" s="16">
        <f>9.25/10000</f>
      </c>
      <c r="T672" s="17"/>
      <c r="U672" s="13"/>
      <c r="V672" s="16"/>
      <c r="W672" s="13"/>
      <c r="X672" s="13"/>
      <c r="Y672" s="14"/>
      <c r="Z672" s="2"/>
      <c r="AA672" s="13">
        <f>H672*I672/100</f>
      </c>
      <c r="AB672" s="13">
        <f>H672*J672/100</f>
      </c>
      <c r="AC672" s="15">
        <f>H672*K672</f>
      </c>
      <c r="AD672" s="15">
        <f>H672*M672</f>
      </c>
      <c r="AE672" s="13">
        <f>H672*L672/100</f>
      </c>
      <c r="AF672" s="13">
        <f>AA672+AB672+AE672</f>
      </c>
      <c r="AG672" s="13">
        <f>I672+J672+L672</f>
      </c>
      <c r="AH672" s="18">
        <f>$H672*I672</f>
      </c>
      <c r="AI672" s="18">
        <f>$H672*J672</f>
      </c>
      <c r="AJ672" s="18">
        <f>$H672*K672</f>
      </c>
      <c r="AK672" s="18">
        <f>$H672*L672</f>
      </c>
      <c r="AL672" s="18">
        <f>$H672*M672</f>
      </c>
      <c r="AM672" s="14"/>
      <c r="AN672" s="14"/>
      <c r="AO672" s="14"/>
    </row>
    <row x14ac:dyDescent="0.25" r="673" customHeight="1" ht="17.25">
      <c r="A673" s="2" t="s">
        <v>1347</v>
      </c>
      <c r="B673" s="2" t="s">
        <v>1338</v>
      </c>
      <c r="C673" s="2" t="s">
        <v>159</v>
      </c>
      <c r="D673" s="2" t="s">
        <v>1348</v>
      </c>
      <c r="E673" s="2" t="s">
        <v>52</v>
      </c>
      <c r="F673" s="2" t="s">
        <v>1349</v>
      </c>
      <c r="G673" s="2" t="s">
        <v>1350</v>
      </c>
      <c r="H673" s="14">
        <f>185+523+630+71+312+400</f>
      </c>
      <c r="I673" s="13"/>
      <c r="J673" s="13">
        <f>(0.13*185+0.15*523+0.1*630+1.73*71+1.73*312+1.4*400)/$H673</f>
      </c>
      <c r="K673" s="15">
        <f>(7.7*185+8*523+7.4*630+15.6*71+14.3*312+15*400)/$H673</f>
      </c>
      <c r="L673" s="13">
        <f>(0.87*185+0.86*523+0.7*630+0.99*71+0.92*312+0.9*400)/$H673</f>
      </c>
      <c r="M673" s="13"/>
      <c r="N673" s="15"/>
      <c r="O673" s="16"/>
      <c r="P673" s="13"/>
      <c r="Q673" s="13"/>
      <c r="R673" s="17"/>
      <c r="S673" s="16">
        <f>(0.034*185+0.025*523+0.02*630+0.012*71+0.007*312+0.005*400)/$H673</f>
      </c>
      <c r="T673" s="17"/>
      <c r="U673" s="13"/>
      <c r="V673" s="16"/>
      <c r="W673" s="13"/>
      <c r="X673" s="13"/>
      <c r="Y673" s="14"/>
      <c r="Z673" s="2"/>
      <c r="AA673" s="13">
        <f>H673*I673/100</f>
      </c>
      <c r="AB673" s="13">
        <f>H673*J673/100</f>
      </c>
      <c r="AC673" s="15">
        <f>H673*K673</f>
      </c>
      <c r="AD673" s="15">
        <f>H673*M673</f>
      </c>
      <c r="AE673" s="13">
        <f>H673*L673/100</f>
      </c>
      <c r="AF673" s="13">
        <f>AA673+AB673+AE673</f>
      </c>
      <c r="AG673" s="13">
        <f>I673+J673+L673</f>
      </c>
      <c r="AH673" s="18">
        <f>$H673*I673</f>
      </c>
      <c r="AI673" s="18">
        <f>$H673*J673</f>
      </c>
      <c r="AJ673" s="18">
        <f>$H673*K673</f>
      </c>
      <c r="AK673" s="18">
        <f>$H673*L673</f>
      </c>
      <c r="AL673" s="18">
        <f>$H673*M673</f>
      </c>
      <c r="AM673" s="14"/>
      <c r="AN673" s="14"/>
      <c r="AO673" s="14"/>
    </row>
    <row x14ac:dyDescent="0.25" r="674" customHeight="1" ht="17.25">
      <c r="A674" s="2" t="s">
        <v>1351</v>
      </c>
      <c r="B674" s="2" t="s">
        <v>1338</v>
      </c>
      <c r="C674" s="2" t="s">
        <v>159</v>
      </c>
      <c r="D674" s="2"/>
      <c r="E674" s="2" t="s">
        <v>52</v>
      </c>
      <c r="F674" s="2" t="s">
        <v>1352</v>
      </c>
      <c r="G674" s="2" t="s">
        <v>1353</v>
      </c>
      <c r="H674" s="16">
        <f>7.279032+3.706297</f>
      </c>
      <c r="I674" s="13"/>
      <c r="J674" s="13">
        <f>(1.88*7.279032+1.62*3.706297)/$H674</f>
      </c>
      <c r="K674" s="15">
        <f>(19.2*7.279032+16.6*3.706297)/$H674</f>
      </c>
      <c r="L674" s="13">
        <f>(1.2*7.279032+1.04*3.706297)/$H674</f>
      </c>
      <c r="M674" s="13">
        <f>(0.88*7.279032+0.93*3.706297)/$H674</f>
      </c>
      <c r="N674" s="15"/>
      <c r="O674" s="16"/>
      <c r="P674" s="13"/>
      <c r="Q674" s="13"/>
      <c r="R674" s="17"/>
      <c r="S674" s="13"/>
      <c r="T674" s="17"/>
      <c r="U674" s="13"/>
      <c r="V674" s="16"/>
      <c r="W674" s="13"/>
      <c r="X674" s="13"/>
      <c r="Y674" s="14"/>
      <c r="Z674" s="2"/>
      <c r="AA674" s="13">
        <f>H674*I674/100</f>
      </c>
      <c r="AB674" s="13">
        <f>H674*J674/100</f>
      </c>
      <c r="AC674" s="15">
        <f>H674*K674</f>
      </c>
      <c r="AD674" s="15">
        <f>H674*M674</f>
      </c>
      <c r="AE674" s="13">
        <f>H674*L674/100</f>
      </c>
      <c r="AF674" s="13">
        <f>AA674+AB674+AE674</f>
      </c>
      <c r="AG674" s="13">
        <f>I674+J674+L674</f>
      </c>
      <c r="AH674" s="18">
        <f>$H674*I674</f>
      </c>
      <c r="AI674" s="18">
        <f>$H674*J674</f>
      </c>
      <c r="AJ674" s="18">
        <f>$H674*K674</f>
      </c>
      <c r="AK674" s="18">
        <f>$H674*L674</f>
      </c>
      <c r="AL674" s="18">
        <f>$H674*M674</f>
      </c>
      <c r="AM674" s="14"/>
      <c r="AN674" s="14"/>
      <c r="AO674" s="14"/>
    </row>
    <row x14ac:dyDescent="0.25" r="675" customHeight="1" ht="17.25">
      <c r="A675" s="2" t="s">
        <v>1354</v>
      </c>
      <c r="B675" s="2" t="s">
        <v>1338</v>
      </c>
      <c r="C675" s="2" t="s">
        <v>159</v>
      </c>
      <c r="D675" s="2"/>
      <c r="E675" s="2" t="s">
        <v>52</v>
      </c>
      <c r="F675" s="2" t="s">
        <v>1355</v>
      </c>
      <c r="G675" s="2" t="s">
        <v>108</v>
      </c>
      <c r="H675" s="16">
        <v>18.093468</v>
      </c>
      <c r="I675" s="13">
        <v>1.37</v>
      </c>
      <c r="J675" s="13">
        <v>3.92</v>
      </c>
      <c r="K675" s="15">
        <f>2.34*31.1</f>
      </c>
      <c r="L675" s="13">
        <v>0.34</v>
      </c>
      <c r="M675" s="13"/>
      <c r="N675" s="15"/>
      <c r="O675" s="16"/>
      <c r="P675" s="13"/>
      <c r="Q675" s="13"/>
      <c r="R675" s="17"/>
      <c r="S675" s="13"/>
      <c r="T675" s="17"/>
      <c r="U675" s="13"/>
      <c r="V675" s="16"/>
      <c r="W675" s="13"/>
      <c r="X675" s="13"/>
      <c r="Y675" s="14"/>
      <c r="Z675" s="2"/>
      <c r="AA675" s="13">
        <f>H675*I675/100</f>
      </c>
      <c r="AB675" s="13">
        <f>H675*J675/100</f>
      </c>
      <c r="AC675" s="15">
        <f>H675*K675</f>
      </c>
      <c r="AD675" s="15">
        <f>H675*M675</f>
      </c>
      <c r="AE675" s="13">
        <f>H675*L675/100</f>
      </c>
      <c r="AF675" s="13">
        <f>AA675+AB675+AE675</f>
      </c>
      <c r="AG675" s="13">
        <f>I675+J675+L675</f>
      </c>
      <c r="AH675" s="18">
        <f>$H675*I675</f>
      </c>
      <c r="AI675" s="18">
        <f>$H675*J675</f>
      </c>
      <c r="AJ675" s="18">
        <f>$H675*K675</f>
      </c>
      <c r="AK675" s="18">
        <f>$H675*L675</f>
      </c>
      <c r="AL675" s="18">
        <f>$H675*M675</f>
      </c>
      <c r="AM675" s="14"/>
      <c r="AN675" s="14"/>
      <c r="AO675" s="14"/>
    </row>
    <row x14ac:dyDescent="0.25" r="676" customHeight="1" ht="17.25">
      <c r="A676" s="2" t="s">
        <v>1356</v>
      </c>
      <c r="B676" s="2" t="s">
        <v>1338</v>
      </c>
      <c r="C676" s="2" t="s">
        <v>159</v>
      </c>
      <c r="D676" s="2"/>
      <c r="E676" s="2" t="s">
        <v>52</v>
      </c>
      <c r="F676" s="2" t="s">
        <v>1357</v>
      </c>
      <c r="G676" s="2" t="s">
        <v>1358</v>
      </c>
      <c r="H676" s="13">
        <v>13.3</v>
      </c>
      <c r="I676" s="13">
        <v>0.2</v>
      </c>
      <c r="J676" s="13">
        <v>5.9</v>
      </c>
      <c r="K676" s="14">
        <v>14</v>
      </c>
      <c r="L676" s="13"/>
      <c r="M676" s="13"/>
      <c r="N676" s="15"/>
      <c r="O676" s="16"/>
      <c r="P676" s="13"/>
      <c r="Q676" s="13"/>
      <c r="R676" s="14">
        <v>68</v>
      </c>
      <c r="S676" s="13"/>
      <c r="T676" s="17"/>
      <c r="U676" s="13"/>
      <c r="V676" s="16"/>
      <c r="W676" s="13"/>
      <c r="X676" s="13"/>
      <c r="Y676" s="14"/>
      <c r="Z676" s="2"/>
      <c r="AA676" s="13">
        <f>H676*I676/100</f>
      </c>
      <c r="AB676" s="13">
        <f>H676*J676/100</f>
      </c>
      <c r="AC676" s="15">
        <f>H676*K676</f>
      </c>
      <c r="AD676" s="15">
        <f>H676*M676</f>
      </c>
      <c r="AE676" s="13">
        <f>H676*L676/100</f>
      </c>
      <c r="AF676" s="13">
        <f>AA676+AB676+AE676</f>
      </c>
      <c r="AG676" s="13">
        <f>I676+J676+L676</f>
      </c>
      <c r="AH676" s="18">
        <f>$H676*I676</f>
      </c>
      <c r="AI676" s="18">
        <f>$H676*J676</f>
      </c>
      <c r="AJ676" s="18">
        <f>$H676*K676</f>
      </c>
      <c r="AK676" s="18">
        <f>$H676*L676</f>
      </c>
      <c r="AL676" s="18">
        <f>$H676*M676</f>
      </c>
      <c r="AM676" s="14"/>
      <c r="AN676" s="14"/>
      <c r="AO676" s="14"/>
    </row>
    <row x14ac:dyDescent="0.25" r="677" customHeight="1" ht="17.25">
      <c r="A677" s="2" t="s">
        <v>1359</v>
      </c>
      <c r="B677" s="2" t="s">
        <v>1338</v>
      </c>
      <c r="C677" s="2" t="s">
        <v>40</v>
      </c>
      <c r="D677" s="2" t="s">
        <v>41</v>
      </c>
      <c r="E677" s="2" t="s">
        <v>52</v>
      </c>
      <c r="F677" s="2" t="s">
        <v>1360</v>
      </c>
      <c r="G677" s="2" t="s">
        <v>1361</v>
      </c>
      <c r="H677" s="13">
        <f>1.43+1.35+9.07</f>
      </c>
      <c r="I677" s="13">
        <f>(1.85*1.43+1.71*1.35+1.21*9.07)/$H677</f>
      </c>
      <c r="J677" s="13">
        <f>(13.02*1.43+12.51*1.35+10.87*9.07)/$H677</f>
      </c>
      <c r="K677" s="15">
        <f>(19.3*1.43+17.1*1.35+12.2*9.07)/$H677</f>
      </c>
      <c r="L677" s="13"/>
      <c r="M677" s="13"/>
      <c r="N677" s="15"/>
      <c r="O677" s="16"/>
      <c r="P677" s="13"/>
      <c r="Q677" s="13"/>
      <c r="R677" s="17"/>
      <c r="S677" s="13"/>
      <c r="T677" s="17"/>
      <c r="U677" s="13"/>
      <c r="V677" s="16"/>
      <c r="W677" s="13"/>
      <c r="X677" s="13"/>
      <c r="Y677" s="14"/>
      <c r="Z677" s="2"/>
      <c r="AA677" s="13">
        <f>H677*I677/100</f>
      </c>
      <c r="AB677" s="13">
        <f>H677*J677/100</f>
      </c>
      <c r="AC677" s="15">
        <f>H677*K677</f>
      </c>
      <c r="AD677" s="15">
        <f>H677*M677</f>
      </c>
      <c r="AE677" s="13">
        <f>H677*L677/100</f>
      </c>
      <c r="AF677" s="13">
        <f>AA677+AB677+AE677</f>
      </c>
      <c r="AG677" s="13">
        <f>I677+J677+L677</f>
      </c>
      <c r="AH677" s="18">
        <f>$H677*I677</f>
      </c>
      <c r="AI677" s="18">
        <f>$H677*J677</f>
      </c>
      <c r="AJ677" s="18">
        <f>$H677*K677</f>
      </c>
      <c r="AK677" s="18">
        <f>$H677*L677</f>
      </c>
      <c r="AL677" s="18">
        <f>$H677*M677</f>
      </c>
      <c r="AM677" s="14"/>
      <c r="AN677" s="14"/>
      <c r="AO677" s="14"/>
    </row>
    <row x14ac:dyDescent="0.25" r="678" customHeight="1" ht="17.25">
      <c r="A678" s="2" t="s">
        <v>1362</v>
      </c>
      <c r="B678" s="2" t="s">
        <v>1338</v>
      </c>
      <c r="C678" s="2" t="s">
        <v>56</v>
      </c>
      <c r="D678" s="2" t="s">
        <v>937</v>
      </c>
      <c r="E678" s="2" t="s">
        <v>52</v>
      </c>
      <c r="F678" s="2" t="s">
        <v>1363</v>
      </c>
      <c r="G678" s="2" t="s">
        <v>108</v>
      </c>
      <c r="H678" s="13">
        <f>3.083+1.989+6.184</f>
      </c>
      <c r="I678" s="13">
        <f>(1.69*3.083+1.08*1.989+2.11*6.184)/$H678</f>
      </c>
      <c r="J678" s="13">
        <f>(2.49*3.083+2.07*1.989+2.97*6.184)/$H678</f>
      </c>
      <c r="K678" s="17">
        <f>(137*3.083+76*1.989+121*6.184)/$H678</f>
      </c>
      <c r="L678" s="13"/>
      <c r="M678" s="13">
        <f>(0.4*3.083+0.3*1.989+0.5*6.184)/$H678</f>
      </c>
      <c r="N678" s="15"/>
      <c r="O678" s="16"/>
      <c r="P678" s="13"/>
      <c r="Q678" s="13"/>
      <c r="R678" s="17"/>
      <c r="S678" s="13"/>
      <c r="T678" s="17"/>
      <c r="U678" s="13"/>
      <c r="V678" s="16"/>
      <c r="W678" s="13"/>
      <c r="X678" s="13"/>
      <c r="Y678" s="14"/>
      <c r="Z678" s="2"/>
      <c r="AA678" s="13">
        <f>H678*I678/100</f>
      </c>
      <c r="AB678" s="13">
        <f>H678*J678/100</f>
      </c>
      <c r="AC678" s="15">
        <f>H678*K678</f>
      </c>
      <c r="AD678" s="15">
        <f>H678*M678</f>
      </c>
      <c r="AE678" s="13">
        <f>H678*L678/100</f>
      </c>
      <c r="AF678" s="13">
        <f>AA678+AB678+AE678</f>
      </c>
      <c r="AG678" s="13">
        <f>I678+J678+L678</f>
      </c>
      <c r="AH678" s="18">
        <f>$H678*I678</f>
      </c>
      <c r="AI678" s="18">
        <f>$H678*J678</f>
      </c>
      <c r="AJ678" s="18">
        <f>$H678*K678</f>
      </c>
      <c r="AK678" s="18">
        <f>$H678*L678</f>
      </c>
      <c r="AL678" s="18">
        <f>$H678*M678</f>
      </c>
      <c r="AM678" s="14"/>
      <c r="AN678" s="14"/>
      <c r="AO678" s="14"/>
    </row>
    <row x14ac:dyDescent="0.25" r="679" customHeight="1" ht="17.25">
      <c r="A679" s="2" t="s">
        <v>1364</v>
      </c>
      <c r="B679" s="2" t="s">
        <v>1338</v>
      </c>
      <c r="C679" s="2" t="s">
        <v>56</v>
      </c>
      <c r="D679" s="2" t="s">
        <v>1365</v>
      </c>
      <c r="E679" s="2" t="s">
        <v>52</v>
      </c>
      <c r="F679" s="2" t="s">
        <v>1342</v>
      </c>
      <c r="G679" s="2" t="s">
        <v>108</v>
      </c>
      <c r="H679" s="13">
        <f>29.741+120.75+52.606</f>
      </c>
      <c r="I679" s="13">
        <f>(0.78*29.741+1.25*120.75+0.78*52.606)/$H679</f>
      </c>
      <c r="J679" s="13">
        <f>(1.99*29.741+3.1*120.75+1.6*52.606)/$H679</f>
      </c>
      <c r="K679" s="15">
        <f>31.1*(4.05*29.741+2.75*120.75+3.84*52.606)/$H679</f>
      </c>
      <c r="L679" s="13">
        <f>(0.05*29.741+0.24*120.75+0.25*52.606)/$H679</f>
      </c>
      <c r="M679" s="13"/>
      <c r="N679" s="15"/>
      <c r="O679" s="16"/>
      <c r="P679" s="13"/>
      <c r="Q679" s="13"/>
      <c r="R679" s="17"/>
      <c r="S679" s="13"/>
      <c r="T679" s="17"/>
      <c r="U679" s="13"/>
      <c r="V679" s="16"/>
      <c r="W679" s="13"/>
      <c r="X679" s="13"/>
      <c r="Y679" s="14"/>
      <c r="Z679" s="2"/>
      <c r="AA679" s="13">
        <f>H679*I679/100</f>
      </c>
      <c r="AB679" s="13">
        <f>H679*J679/100</f>
      </c>
      <c r="AC679" s="15">
        <f>H679*K679</f>
      </c>
      <c r="AD679" s="15">
        <f>H679*M679</f>
      </c>
      <c r="AE679" s="13">
        <f>H679*L679/100</f>
      </c>
      <c r="AF679" s="13">
        <f>AA679+AB679+AE679</f>
      </c>
      <c r="AG679" s="13">
        <f>I679+J679+L679</f>
      </c>
      <c r="AH679" s="18">
        <f>$H679*I679</f>
      </c>
      <c r="AI679" s="18">
        <f>$H679*J679</f>
      </c>
      <c r="AJ679" s="18">
        <f>$H679*K679</f>
      </c>
      <c r="AK679" s="18">
        <f>$H679*L679</f>
      </c>
      <c r="AL679" s="18">
        <f>$H679*M679</f>
      </c>
      <c r="AM679" s="14"/>
      <c r="AN679" s="14"/>
      <c r="AO679" s="14"/>
    </row>
    <row x14ac:dyDescent="0.25" r="680" customHeight="1" ht="17.25">
      <c r="A680" s="2" t="s">
        <v>1366</v>
      </c>
      <c r="B680" s="2" t="s">
        <v>1338</v>
      </c>
      <c r="C680" s="2" t="s">
        <v>50</v>
      </c>
      <c r="D680" s="2"/>
      <c r="E680" s="2" t="s">
        <v>52</v>
      </c>
      <c r="F680" s="2" t="s">
        <v>1355</v>
      </c>
      <c r="G680" s="2" t="s">
        <v>108</v>
      </c>
      <c r="H680" s="16">
        <v>85.107369</v>
      </c>
      <c r="I680" s="13">
        <v>0.29</v>
      </c>
      <c r="J680" s="13">
        <v>2.57</v>
      </c>
      <c r="K680" s="15">
        <f>0.79*31.1</f>
      </c>
      <c r="L680" s="13">
        <v>0.75</v>
      </c>
      <c r="M680" s="13"/>
      <c r="N680" s="15"/>
      <c r="O680" s="16"/>
      <c r="P680" s="13"/>
      <c r="Q680" s="13"/>
      <c r="R680" s="17"/>
      <c r="S680" s="13"/>
      <c r="T680" s="17"/>
      <c r="U680" s="13"/>
      <c r="V680" s="16"/>
      <c r="W680" s="13"/>
      <c r="X680" s="13"/>
      <c r="Y680" s="14"/>
      <c r="Z680" s="2"/>
      <c r="AA680" s="13">
        <f>H680*I680/100</f>
      </c>
      <c r="AB680" s="13">
        <f>H680*J680/100</f>
      </c>
      <c r="AC680" s="15">
        <f>H680*K680</f>
      </c>
      <c r="AD680" s="15">
        <f>H680*M680</f>
      </c>
      <c r="AE680" s="13">
        <f>H680*L680/100</f>
      </c>
      <c r="AF680" s="13">
        <f>AA680+AB680+AE680</f>
      </c>
      <c r="AG680" s="13">
        <f>I680+J680+L680</f>
      </c>
      <c r="AH680" s="18">
        <f>$H680*I680</f>
      </c>
      <c r="AI680" s="18">
        <f>$H680*J680</f>
      </c>
      <c r="AJ680" s="18">
        <f>$H680*K680</f>
      </c>
      <c r="AK680" s="18">
        <f>$H680*L680</f>
      </c>
      <c r="AL680" s="18">
        <f>$H680*M680</f>
      </c>
      <c r="AM680" s="14"/>
      <c r="AN680" s="14"/>
      <c r="AO680" s="14"/>
    </row>
    <row x14ac:dyDescent="0.25" r="681" customHeight="1" ht="17.25">
      <c r="A681" s="2" t="s">
        <v>1367</v>
      </c>
      <c r="B681" s="2" t="s">
        <v>1338</v>
      </c>
      <c r="C681" s="2" t="s">
        <v>159</v>
      </c>
      <c r="D681" s="2"/>
      <c r="E681" s="2" t="s">
        <v>52</v>
      </c>
      <c r="F681" s="2" t="s">
        <v>1342</v>
      </c>
      <c r="G681" s="2" t="s">
        <v>108</v>
      </c>
      <c r="H681" s="13">
        <f>9.157+1.148+7.966</f>
      </c>
      <c r="I681" s="13">
        <f>(1.72*9.157+2.35*1.148+2.55*7.966)/$H681</f>
      </c>
      <c r="J681" s="13">
        <f>(6.26*9.157+7.54*1.148+6.91*7.966)/$H681</f>
      </c>
      <c r="K681" s="15">
        <f>31.1*(3.92*9.157+3.74*1.148+3.82*7.966)/$H681</f>
      </c>
      <c r="L681" s="13">
        <f>(0.24*9.157+0.18*1.148+0.28*7.966)/$H681</f>
      </c>
      <c r="M681" s="13"/>
      <c r="N681" s="15"/>
      <c r="O681" s="16"/>
      <c r="P681" s="13"/>
      <c r="Q681" s="13"/>
      <c r="R681" s="17"/>
      <c r="S681" s="13"/>
      <c r="T681" s="17"/>
      <c r="U681" s="13"/>
      <c r="V681" s="16"/>
      <c r="W681" s="13"/>
      <c r="X681" s="13"/>
      <c r="Y681" s="14"/>
      <c r="Z681" s="2"/>
      <c r="AA681" s="13">
        <f>H681*I681/100</f>
      </c>
      <c r="AB681" s="13">
        <f>H681*J681/100</f>
      </c>
      <c r="AC681" s="15">
        <f>H681*K681</f>
      </c>
      <c r="AD681" s="15">
        <f>H681*M681</f>
      </c>
      <c r="AE681" s="13">
        <f>H681*L681/100</f>
      </c>
      <c r="AF681" s="13">
        <f>AA681+AB681+AE681</f>
      </c>
      <c r="AG681" s="13">
        <f>I681+J681+L681</f>
      </c>
      <c r="AH681" s="18">
        <f>$H681*I681</f>
      </c>
      <c r="AI681" s="18">
        <f>$H681*J681</f>
      </c>
      <c r="AJ681" s="18">
        <f>$H681*K681</f>
      </c>
      <c r="AK681" s="18">
        <f>$H681*L681</f>
      </c>
      <c r="AL681" s="18">
        <f>$H681*M681</f>
      </c>
      <c r="AM681" s="14"/>
      <c r="AN681" s="14"/>
      <c r="AO681" s="14"/>
    </row>
    <row x14ac:dyDescent="0.25" r="682" customHeight="1" ht="17.25">
      <c r="A682" s="2" t="s">
        <v>1368</v>
      </c>
      <c r="B682" s="2" t="s">
        <v>1338</v>
      </c>
      <c r="C682" s="2" t="s">
        <v>159</v>
      </c>
      <c r="D682" s="2"/>
      <c r="E682" s="2" t="s">
        <v>52</v>
      </c>
      <c r="F682" s="2" t="s">
        <v>659</v>
      </c>
      <c r="G682" s="2" t="s">
        <v>66</v>
      </c>
      <c r="H682" s="13">
        <f>1.33+0.97+0.81</f>
      </c>
      <c r="I682" s="13">
        <f>(1.83*1.33+0.69*0.97+0.63*0.81)/$H682</f>
      </c>
      <c r="J682" s="13">
        <f>(4.65*1.33+3.76*0.97+3.07*0.81)/$H682</f>
      </c>
      <c r="K682" s="15">
        <f>(94.72*1.33+61.66*0.97+45.96*0.81)/$H682</f>
      </c>
      <c r="L682" s="13">
        <f>(0.8*1.33+0.93*0.97+0.81*0.81)/$H682</f>
      </c>
      <c r="M682" s="13"/>
      <c r="N682" s="15"/>
      <c r="O682" s="16"/>
      <c r="P682" s="13"/>
      <c r="Q682" s="13"/>
      <c r="R682" s="17"/>
      <c r="S682" s="13"/>
      <c r="T682" s="17"/>
      <c r="U682" s="13"/>
      <c r="V682" s="16"/>
      <c r="W682" s="13"/>
      <c r="X682" s="13"/>
      <c r="Y682" s="14"/>
      <c r="Z682" s="2"/>
      <c r="AA682" s="13">
        <f>H682*I682/100</f>
      </c>
      <c r="AB682" s="13">
        <f>H682*J682/100</f>
      </c>
      <c r="AC682" s="15">
        <f>H682*K682</f>
      </c>
      <c r="AD682" s="15">
        <f>H682*M682</f>
      </c>
      <c r="AE682" s="13">
        <f>H682*L682/100</f>
      </c>
      <c r="AF682" s="13">
        <f>AA682+AB682+AE682</f>
      </c>
      <c r="AG682" s="13">
        <f>I682+J682+L682</f>
      </c>
      <c r="AH682" s="18">
        <f>$H682*I682</f>
      </c>
      <c r="AI682" s="18">
        <f>$H682*J682</f>
      </c>
      <c r="AJ682" s="18">
        <f>$H682*K682</f>
      </c>
      <c r="AK682" s="18">
        <f>$H682*L682</f>
      </c>
      <c r="AL682" s="18">
        <f>$H682*M682</f>
      </c>
      <c r="AM682" s="14"/>
      <c r="AN682" s="14"/>
      <c r="AO682" s="14"/>
    </row>
    <row x14ac:dyDescent="0.25" r="683" customHeight="1" ht="17.25">
      <c r="A683" s="2" t="s">
        <v>1369</v>
      </c>
      <c r="B683" s="2" t="s">
        <v>1338</v>
      </c>
      <c r="C683" s="2" t="s">
        <v>56</v>
      </c>
      <c r="D683" s="2" t="s">
        <v>1370</v>
      </c>
      <c r="E683" s="2" t="s">
        <v>52</v>
      </c>
      <c r="F683" s="2" t="s">
        <v>1371</v>
      </c>
      <c r="G683" s="2" t="s">
        <v>1372</v>
      </c>
      <c r="H683" s="13">
        <f>40.961+249.63+49.793</f>
      </c>
      <c r="I683" s="13">
        <f>(0.866*40.961+0.629*249.63+0.464*49.793)/$H683</f>
      </c>
      <c r="J683" s="13">
        <f>(0.531*40.961+0.377*249.63+0.278*49.793)/$H683</f>
      </c>
      <c r="K683" s="15">
        <f>(53.57*40.961+35.89*249.63+30*49.793)/$H683</f>
      </c>
      <c r="L683" s="13"/>
      <c r="M683" s="13"/>
      <c r="N683" s="15"/>
      <c r="O683" s="16"/>
      <c r="P683" s="13"/>
      <c r="Q683" s="13"/>
      <c r="R683" s="17"/>
      <c r="S683" s="13"/>
      <c r="T683" s="17"/>
      <c r="U683" s="13"/>
      <c r="V683" s="16"/>
      <c r="W683" s="13"/>
      <c r="X683" s="13"/>
      <c r="Y683" s="14"/>
      <c r="Z683" s="2"/>
      <c r="AA683" s="13">
        <f>H683*I683/100</f>
      </c>
      <c r="AB683" s="13">
        <f>H683*J683/100</f>
      </c>
      <c r="AC683" s="15">
        <f>H683*K683</f>
      </c>
      <c r="AD683" s="15">
        <f>H683*M683</f>
      </c>
      <c r="AE683" s="13">
        <f>H683*L683/100</f>
      </c>
      <c r="AF683" s="13">
        <f>AA683+AB683+AE683</f>
      </c>
      <c r="AG683" s="13">
        <f>I683+J683+L683</f>
      </c>
      <c r="AH683" s="18">
        <f>$H683*I683</f>
      </c>
      <c r="AI683" s="18">
        <f>$H683*J683</f>
      </c>
      <c r="AJ683" s="18">
        <f>$H683*K683</f>
      </c>
      <c r="AK683" s="18">
        <f>$H683*L683</f>
      </c>
      <c r="AL683" s="18">
        <f>$H683*M683</f>
      </c>
      <c r="AM683" s="14"/>
      <c r="AN683" s="14"/>
      <c r="AO683" s="14"/>
    </row>
    <row x14ac:dyDescent="0.25" r="684" customHeight="1" ht="17.25">
      <c r="A684" s="2" t="s">
        <v>1373</v>
      </c>
      <c r="B684" s="2" t="s">
        <v>1338</v>
      </c>
      <c r="C684" s="2" t="s">
        <v>159</v>
      </c>
      <c r="D684" s="2"/>
      <c r="E684" s="2" t="s">
        <v>52</v>
      </c>
      <c r="F684" s="2" t="s">
        <v>659</v>
      </c>
      <c r="G684" s="2" t="s">
        <v>1374</v>
      </c>
      <c r="H684" s="13">
        <f>0.63+0.26+4.88-0.051</f>
      </c>
      <c r="I684" s="13">
        <f>(2.1*0.63+1.66*0.26+1.57*4.88-0.49*0.051)/$H684</f>
      </c>
      <c r="J684" s="13">
        <f>(2.97*0.63+3.45*0.26+2.98*4.88-1.82*0.051)/$H684</f>
      </c>
      <c r="K684" s="15">
        <f>(169.85*0.63+186.07*0.26+224.54*4.88-119.78*0.051)/$H684</f>
      </c>
      <c r="L684" s="13">
        <f>(0.38*0.63+0.54*0.26+0.48*4.88-0.53*0.051)/$H684</f>
      </c>
      <c r="M684" s="13">
        <f>(5.18*0.63+4.72*0.26+4.91*4.88-2.42*0.051)/$H684</f>
      </c>
      <c r="N684" s="15"/>
      <c r="O684" s="16"/>
      <c r="P684" s="13"/>
      <c r="Q684" s="13"/>
      <c r="R684" s="17"/>
      <c r="S684" s="13"/>
      <c r="T684" s="17"/>
      <c r="U684" s="13"/>
      <c r="V684" s="16"/>
      <c r="W684" s="13"/>
      <c r="X684" s="13"/>
      <c r="Y684" s="14"/>
      <c r="Z684" s="2"/>
      <c r="AA684" s="13">
        <f>H684*I684/100</f>
      </c>
      <c r="AB684" s="13">
        <f>H684*J684/100</f>
      </c>
      <c r="AC684" s="15">
        <f>H684*K684</f>
      </c>
      <c r="AD684" s="15">
        <f>H684*M684</f>
      </c>
      <c r="AE684" s="13">
        <f>H684*L684/100</f>
      </c>
      <c r="AF684" s="13">
        <f>AA684+AB684+AE684</f>
      </c>
      <c r="AG684" s="13">
        <f>I684+J684+L684</f>
      </c>
      <c r="AH684" s="18">
        <f>$H684*I684</f>
      </c>
      <c r="AI684" s="18">
        <f>$H684*J684</f>
      </c>
      <c r="AJ684" s="18">
        <f>$H684*K684</f>
      </c>
      <c r="AK684" s="18">
        <f>$H684*L684</f>
      </c>
      <c r="AL684" s="18">
        <f>$H684*M684</f>
      </c>
      <c r="AM684" s="14"/>
      <c r="AN684" s="14"/>
      <c r="AO684" s="14"/>
    </row>
    <row x14ac:dyDescent="0.25" r="685" customHeight="1" ht="17.25">
      <c r="A685" s="2" t="s">
        <v>1375</v>
      </c>
      <c r="B685" s="2" t="s">
        <v>1338</v>
      </c>
      <c r="C685" s="2" t="s">
        <v>159</v>
      </c>
      <c r="D685" s="2"/>
      <c r="E685" s="2" t="s">
        <v>52</v>
      </c>
      <c r="F685" s="2" t="s">
        <v>1376</v>
      </c>
      <c r="G685" s="2" t="s">
        <v>1377</v>
      </c>
      <c r="H685" s="13">
        <v>45.926</v>
      </c>
      <c r="I685" s="13">
        <v>0.86</v>
      </c>
      <c r="J685" s="13">
        <v>2.53</v>
      </c>
      <c r="K685" s="13">
        <v>28.62</v>
      </c>
      <c r="L685" s="13"/>
      <c r="M685" s="13"/>
      <c r="N685" s="15"/>
      <c r="O685" s="16"/>
      <c r="P685" s="13"/>
      <c r="Q685" s="13"/>
      <c r="R685" s="17"/>
      <c r="S685" s="13"/>
      <c r="T685" s="17"/>
      <c r="U685" s="13"/>
      <c r="V685" s="16"/>
      <c r="W685" s="13"/>
      <c r="X685" s="13"/>
      <c r="Y685" s="14"/>
      <c r="Z685" s="2"/>
      <c r="AA685" s="13">
        <f>H685*I685/100</f>
      </c>
      <c r="AB685" s="13">
        <f>H685*J685/100</f>
      </c>
      <c r="AC685" s="15">
        <f>H685*K685</f>
      </c>
      <c r="AD685" s="15">
        <f>H685*M685</f>
      </c>
      <c r="AE685" s="13">
        <f>H685*L685/100</f>
      </c>
      <c r="AF685" s="13">
        <f>AA685+AB685+AE685</f>
      </c>
      <c r="AG685" s="13">
        <f>I685+J685+L685</f>
      </c>
      <c r="AH685" s="18">
        <f>$H685*I685</f>
      </c>
      <c r="AI685" s="18">
        <f>$H685*J685</f>
      </c>
      <c r="AJ685" s="18">
        <f>$H685*K685</f>
      </c>
      <c r="AK685" s="18">
        <f>$H685*L685</f>
      </c>
      <c r="AL685" s="18">
        <f>$H685*M685</f>
      </c>
      <c r="AM685" s="14"/>
      <c r="AN685" s="14"/>
      <c r="AO685" s="14"/>
    </row>
    <row x14ac:dyDescent="0.25" r="686" customHeight="1" ht="17.25">
      <c r="A686" s="2" t="s">
        <v>1378</v>
      </c>
      <c r="B686" s="2" t="s">
        <v>1338</v>
      </c>
      <c r="C686" s="2" t="s">
        <v>159</v>
      </c>
      <c r="D686" s="2"/>
      <c r="E686" s="2" t="s">
        <v>52</v>
      </c>
      <c r="F686" s="2" t="s">
        <v>1355</v>
      </c>
      <c r="G686" s="2" t="s">
        <v>108</v>
      </c>
      <c r="H686" s="16">
        <v>40.972762</v>
      </c>
      <c r="I686" s="13">
        <v>0.89</v>
      </c>
      <c r="J686" s="13">
        <v>4.64</v>
      </c>
      <c r="K686" s="15">
        <f>1.94*31.1</f>
      </c>
      <c r="L686" s="13">
        <v>0.27</v>
      </c>
      <c r="M686" s="13"/>
      <c r="N686" s="15"/>
      <c r="O686" s="16"/>
      <c r="P686" s="13"/>
      <c r="Q686" s="13"/>
      <c r="R686" s="17"/>
      <c r="S686" s="13"/>
      <c r="T686" s="17"/>
      <c r="U686" s="13"/>
      <c r="V686" s="16"/>
      <c r="W686" s="13"/>
      <c r="X686" s="13"/>
      <c r="Y686" s="14"/>
      <c r="Z686" s="2"/>
      <c r="AA686" s="13">
        <f>H686*I686/100</f>
      </c>
      <c r="AB686" s="13">
        <f>H686*J686/100</f>
      </c>
      <c r="AC686" s="15">
        <f>H686*K686</f>
      </c>
      <c r="AD686" s="15">
        <f>H686*M686</f>
      </c>
      <c r="AE686" s="13">
        <f>H686*L686/100</f>
      </c>
      <c r="AF686" s="13">
        <f>AA686+AB686+AE686</f>
      </c>
      <c r="AG686" s="13">
        <f>I686+J686+L686</f>
      </c>
      <c r="AH686" s="18">
        <f>$H686*I686</f>
      </c>
      <c r="AI686" s="18">
        <f>$H686*J686</f>
      </c>
      <c r="AJ686" s="18">
        <f>$H686*K686</f>
      </c>
      <c r="AK686" s="18">
        <f>$H686*L686</f>
      </c>
      <c r="AL686" s="18">
        <f>$H686*M686</f>
      </c>
      <c r="AM686" s="14"/>
      <c r="AN686" s="14"/>
      <c r="AO686" s="14"/>
    </row>
    <row x14ac:dyDescent="0.25" r="687" customHeight="1" ht="17.25">
      <c r="A687" s="2" t="s">
        <v>1379</v>
      </c>
      <c r="B687" s="2" t="s">
        <v>1338</v>
      </c>
      <c r="C687" s="2" t="s">
        <v>159</v>
      </c>
      <c r="D687" s="2"/>
      <c r="E687" s="2" t="s">
        <v>52</v>
      </c>
      <c r="F687" s="2" t="s">
        <v>1355</v>
      </c>
      <c r="G687" s="2" t="s">
        <v>108</v>
      </c>
      <c r="H687" s="16">
        <v>60.45558</v>
      </c>
      <c r="I687" s="13">
        <v>0.65</v>
      </c>
      <c r="J687" s="13">
        <v>4.38</v>
      </c>
      <c r="K687" s="15">
        <f>0.98*31.1</f>
      </c>
      <c r="L687" s="13">
        <v>0.06</v>
      </c>
      <c r="M687" s="13"/>
      <c r="N687" s="15"/>
      <c r="O687" s="16"/>
      <c r="P687" s="13"/>
      <c r="Q687" s="13"/>
      <c r="R687" s="17"/>
      <c r="S687" s="13"/>
      <c r="T687" s="17"/>
      <c r="U687" s="13"/>
      <c r="V687" s="16"/>
      <c r="W687" s="13"/>
      <c r="X687" s="13"/>
      <c r="Y687" s="14"/>
      <c r="Z687" s="2"/>
      <c r="AA687" s="13">
        <f>H687*I687/100</f>
      </c>
      <c r="AB687" s="13">
        <f>H687*J687/100</f>
      </c>
      <c r="AC687" s="15">
        <f>H687*K687</f>
      </c>
      <c r="AD687" s="15">
        <f>H687*M687</f>
      </c>
      <c r="AE687" s="13">
        <f>H687*L687/100</f>
      </c>
      <c r="AF687" s="13">
        <f>AA687+AB687+AE687</f>
      </c>
      <c r="AG687" s="13">
        <f>I687+J687+L687</f>
      </c>
      <c r="AH687" s="18">
        <f>$H687*I687</f>
      </c>
      <c r="AI687" s="18">
        <f>$H687*J687</f>
      </c>
      <c r="AJ687" s="18">
        <f>$H687*K687</f>
      </c>
      <c r="AK687" s="18">
        <f>$H687*L687</f>
      </c>
      <c r="AL687" s="18">
        <f>$H687*M687</f>
      </c>
      <c r="AM687" s="14"/>
      <c r="AN687" s="14"/>
      <c r="AO687" s="14"/>
    </row>
    <row x14ac:dyDescent="0.25" r="688" customHeight="1" ht="17.25">
      <c r="A688" s="2" t="s">
        <v>1380</v>
      </c>
      <c r="B688" s="2" t="s">
        <v>1338</v>
      </c>
      <c r="C688" s="2" t="s">
        <v>1205</v>
      </c>
      <c r="D688" s="2"/>
      <c r="E688" s="12" t="s">
        <v>42</v>
      </c>
      <c r="F688" s="2" t="s">
        <v>489</v>
      </c>
      <c r="G688" s="2" t="s">
        <v>1381</v>
      </c>
      <c r="H688" s="16">
        <v>0.874412</v>
      </c>
      <c r="I688" s="13">
        <v>3.31</v>
      </c>
      <c r="J688" s="13">
        <v>3.63</v>
      </c>
      <c r="K688" s="14">
        <v>209</v>
      </c>
      <c r="L688" s="13"/>
      <c r="M688" s="13">
        <v>1.3</v>
      </c>
      <c r="N688" s="15"/>
      <c r="O688" s="16"/>
      <c r="P688" s="13"/>
      <c r="Q688" s="13"/>
      <c r="R688" s="17"/>
      <c r="S688" s="13"/>
      <c r="T688" s="17"/>
      <c r="U688" s="13"/>
      <c r="V688" s="16"/>
      <c r="W688" s="13"/>
      <c r="X688" s="13"/>
      <c r="Y688" s="14"/>
      <c r="Z688" s="2"/>
      <c r="AA688" s="13">
        <f>H688*I688/100</f>
      </c>
      <c r="AB688" s="13">
        <f>H688*J688/100</f>
      </c>
      <c r="AC688" s="15">
        <f>H688*K688</f>
      </c>
      <c r="AD688" s="15">
        <f>H688*M688</f>
      </c>
      <c r="AE688" s="13">
        <f>H688*L688/100</f>
      </c>
      <c r="AF688" s="13">
        <f>AA688+AB688+AE688</f>
      </c>
      <c r="AG688" s="13">
        <f>I688+J688+L688</f>
      </c>
      <c r="AH688" s="18">
        <f>$H688*I688</f>
      </c>
      <c r="AI688" s="18">
        <f>$H688*J688</f>
      </c>
      <c r="AJ688" s="18">
        <f>$H688*K688</f>
      </c>
      <c r="AK688" s="18">
        <f>$H688*L688</f>
      </c>
      <c r="AL688" s="18">
        <f>$H688*M688</f>
      </c>
      <c r="AM688" s="14"/>
      <c r="AN688" s="14"/>
      <c r="AO688" s="14"/>
    </row>
    <row x14ac:dyDescent="0.25" r="689" customHeight="1" ht="17.25">
      <c r="A689" s="2" t="s">
        <v>1382</v>
      </c>
      <c r="B689" s="2" t="s">
        <v>1338</v>
      </c>
      <c r="C689" s="2" t="s">
        <v>56</v>
      </c>
      <c r="D689" s="2" t="s">
        <v>79</v>
      </c>
      <c r="E689" s="2" t="s">
        <v>52</v>
      </c>
      <c r="F689" s="2" t="s">
        <v>72</v>
      </c>
      <c r="G689" s="2" t="s">
        <v>73</v>
      </c>
      <c r="H689" s="13">
        <f>6.9+4.7+1.5+1+8.5</f>
      </c>
      <c r="I689" s="13">
        <f>(1.41*6.9+1.5*4.7+1.85*1.5+1.89*1+1.61*8.5)/$H689</f>
      </c>
      <c r="J689" s="13">
        <f>(2.95*6.9+2.89*4.7+3.06*1.5+3.22*1+2.72*8.5)/$H689</f>
      </c>
      <c r="K689" s="17">
        <f>(169*6.9+163*4.7+162*1.5+166*1+161*8.5)/$H689</f>
      </c>
      <c r="L689" s="13">
        <f>(0.44*6.9+0.42*4.7+0.2*1.5+0.24*1+0.29*8.5)/$H689</f>
      </c>
      <c r="M689" s="13"/>
      <c r="N689" s="15"/>
      <c r="O689" s="16"/>
      <c r="P689" s="13"/>
      <c r="Q689" s="13"/>
      <c r="R689" s="17"/>
      <c r="S689" s="13"/>
      <c r="T689" s="17"/>
      <c r="U689" s="13"/>
      <c r="V689" s="16"/>
      <c r="W689" s="13"/>
      <c r="X689" s="13"/>
      <c r="Y689" s="14"/>
      <c r="Z689" s="2"/>
      <c r="AA689" s="13">
        <f>H689*I689/100</f>
      </c>
      <c r="AB689" s="13">
        <f>H689*J689/100</f>
      </c>
      <c r="AC689" s="15">
        <f>H689*K689</f>
      </c>
      <c r="AD689" s="15">
        <f>H689*M689</f>
      </c>
      <c r="AE689" s="13">
        <f>H689*L689/100</f>
      </c>
      <c r="AF689" s="13">
        <f>AA689+AB689+AE689</f>
      </c>
      <c r="AG689" s="13">
        <f>I689+J689+L689</f>
      </c>
      <c r="AH689" s="18">
        <f>$H689*I689</f>
      </c>
      <c r="AI689" s="18">
        <f>$H689*J689</f>
      </c>
      <c r="AJ689" s="18">
        <f>$H689*K689</f>
      </c>
      <c r="AK689" s="18">
        <f>$H689*L689</f>
      </c>
      <c r="AL689" s="18">
        <f>$H689*M689</f>
      </c>
      <c r="AM689" s="14"/>
      <c r="AN689" s="14"/>
      <c r="AO689" s="14"/>
    </row>
    <row x14ac:dyDescent="0.25" r="690" customHeight="1" ht="17.25">
      <c r="A690" s="2" t="s">
        <v>1383</v>
      </c>
      <c r="B690" s="2" t="s">
        <v>1338</v>
      </c>
      <c r="C690" s="2" t="s">
        <v>56</v>
      </c>
      <c r="D690" s="2" t="s">
        <v>937</v>
      </c>
      <c r="E690" s="2" t="s">
        <v>52</v>
      </c>
      <c r="F690" s="2" t="s">
        <v>1384</v>
      </c>
      <c r="G690" s="2" t="s">
        <v>73</v>
      </c>
      <c r="H690" s="13">
        <f>0.131+8.513+2.534</f>
      </c>
      <c r="I690" s="13">
        <f>(0.39*0.131+0.24*8.513+0.27*2.534)/$H690</f>
      </c>
      <c r="J690" s="13">
        <f>(0.38*0.131+0.28*8.513+0.18*2.534)/$H690</f>
      </c>
      <c r="K690" s="15">
        <f>(31.71*0.131+15.65*8.513+12.02*2.534)/$H690</f>
      </c>
      <c r="L690" s="13">
        <f>(0.73*0.131+0.42*8.513+0.46*2.534)/$H690</f>
      </c>
      <c r="M690" s="13">
        <f>(4.29*0.131+2.09*8.513+1.61*2.534)/$H690</f>
      </c>
      <c r="N690" s="15"/>
      <c r="O690" s="16"/>
      <c r="P690" s="13"/>
      <c r="Q690" s="13"/>
      <c r="R690" s="17"/>
      <c r="S690" s="13"/>
      <c r="T690" s="17"/>
      <c r="U690" s="13"/>
      <c r="V690" s="16"/>
      <c r="W690" s="13"/>
      <c r="X690" s="13"/>
      <c r="Y690" s="14"/>
      <c r="Z690" s="2"/>
      <c r="AA690" s="13">
        <f>H690*I690/100</f>
      </c>
      <c r="AB690" s="13">
        <f>H690*J690/100</f>
      </c>
      <c r="AC690" s="15">
        <f>H690*K690</f>
      </c>
      <c r="AD690" s="15">
        <f>H690*M690</f>
      </c>
      <c r="AE690" s="13">
        <f>H690*L690/100</f>
      </c>
      <c r="AF690" s="13">
        <f>AA690+AB690+AE690</f>
      </c>
      <c r="AG690" s="13">
        <f>I690+J690+L690</f>
      </c>
      <c r="AH690" s="18">
        <f>$H690*I690</f>
      </c>
      <c r="AI690" s="18">
        <f>$H690*J690</f>
      </c>
      <c r="AJ690" s="18">
        <f>$H690*K690</f>
      </c>
      <c r="AK690" s="18">
        <f>$H690*L690</f>
      </c>
      <c r="AL690" s="18">
        <f>$H690*M690</f>
      </c>
      <c r="AM690" s="14"/>
      <c r="AN690" s="14"/>
      <c r="AO690" s="14"/>
    </row>
    <row x14ac:dyDescent="0.25" r="691" customHeight="1" ht="17.25">
      <c r="A691" s="2" t="s">
        <v>1385</v>
      </c>
      <c r="B691" s="2" t="s">
        <v>1338</v>
      </c>
      <c r="C691" s="2" t="s">
        <v>159</v>
      </c>
      <c r="D691" s="2"/>
      <c r="E691" s="2" t="s">
        <v>52</v>
      </c>
      <c r="F691" s="2" t="s">
        <v>65</v>
      </c>
      <c r="G691" s="2" t="s">
        <v>66</v>
      </c>
      <c r="H691" s="13">
        <f>0.93+3.8+12</f>
      </c>
      <c r="I691" s="13">
        <f>(0.88*0.93+0.7*3.8+0.6*12)/$H691</f>
      </c>
      <c r="J691" s="15">
        <f>(12.5*0.93+6.7*3.8+4*12)/$H691</f>
      </c>
      <c r="K691" s="17">
        <f>(25.1*0.93+34*3.8+20*12)/$H691</f>
      </c>
      <c r="L691" s="15">
        <f>(0.37*0.93+0.3*3.8+0.2*12)/$H691</f>
      </c>
      <c r="M691" s="13"/>
      <c r="N691" s="15"/>
      <c r="O691" s="16"/>
      <c r="P691" s="13"/>
      <c r="Q691" s="13"/>
      <c r="R691" s="17"/>
      <c r="S691" s="13"/>
      <c r="T691" s="17"/>
      <c r="U691" s="13"/>
      <c r="V691" s="16"/>
      <c r="W691" s="13"/>
      <c r="X691" s="13"/>
      <c r="Y691" s="14"/>
      <c r="Z691" s="2"/>
      <c r="AA691" s="13">
        <f>H691*I691/100</f>
      </c>
      <c r="AB691" s="13">
        <f>H691*J691/100</f>
      </c>
      <c r="AC691" s="15">
        <f>H691*K691</f>
      </c>
      <c r="AD691" s="15">
        <f>H691*M691</f>
      </c>
      <c r="AE691" s="13">
        <f>H691*L691/100</f>
      </c>
      <c r="AF691" s="13">
        <f>AA691+AB691+AE691</f>
      </c>
      <c r="AG691" s="13">
        <f>I691+J691+L691</f>
      </c>
      <c r="AH691" s="18">
        <f>$H691*I691</f>
      </c>
      <c r="AI691" s="18">
        <f>$H691*J691</f>
      </c>
      <c r="AJ691" s="18">
        <f>$H691*K691</f>
      </c>
      <c r="AK691" s="18">
        <f>$H691*L691</f>
      </c>
      <c r="AL691" s="18">
        <f>$H691*M691</f>
      </c>
      <c r="AM691" s="14"/>
      <c r="AN691" s="14"/>
      <c r="AO691" s="14"/>
    </row>
    <row x14ac:dyDescent="0.25" r="692" customHeight="1" ht="17.25">
      <c r="A692" s="2" t="s">
        <v>1386</v>
      </c>
      <c r="B692" s="2" t="s">
        <v>1338</v>
      </c>
      <c r="C692" s="2" t="s">
        <v>189</v>
      </c>
      <c r="D692" s="2" t="s">
        <v>79</v>
      </c>
      <c r="E692" s="2" t="s">
        <v>52</v>
      </c>
      <c r="F692" s="2" t="s">
        <v>1342</v>
      </c>
      <c r="G692" s="2" t="s">
        <v>108</v>
      </c>
      <c r="H692" s="13">
        <v>0.3</v>
      </c>
      <c r="I692" s="13">
        <v>0.54</v>
      </c>
      <c r="J692" s="13">
        <v>1.12</v>
      </c>
      <c r="K692" s="15">
        <f>10.59*31.1</f>
      </c>
      <c r="L692" s="13"/>
      <c r="M692" s="13"/>
      <c r="N692" s="15"/>
      <c r="O692" s="16"/>
      <c r="P692" s="13"/>
      <c r="Q692" s="13"/>
      <c r="R692" s="17"/>
      <c r="S692" s="13"/>
      <c r="T692" s="17"/>
      <c r="U692" s="13"/>
      <c r="V692" s="16"/>
      <c r="W692" s="13"/>
      <c r="X692" s="13"/>
      <c r="Y692" s="14"/>
      <c r="Z692" s="2"/>
      <c r="AA692" s="13">
        <f>H692*I692/100</f>
      </c>
      <c r="AB692" s="13">
        <f>H692*J692/100</f>
      </c>
      <c r="AC692" s="15">
        <f>H692*K692</f>
      </c>
      <c r="AD692" s="15">
        <f>H692*M692</f>
      </c>
      <c r="AE692" s="13">
        <f>H692*L692/100</f>
      </c>
      <c r="AF692" s="13">
        <f>AA692+AB692+AE692</f>
      </c>
      <c r="AG692" s="13">
        <f>I692+J692+L692</f>
      </c>
      <c r="AH692" s="18">
        <f>$H692*I692</f>
      </c>
      <c r="AI692" s="18">
        <f>$H692*J692</f>
      </c>
      <c r="AJ692" s="18">
        <f>$H692*K692</f>
      </c>
      <c r="AK692" s="18">
        <f>$H692*L692</f>
      </c>
      <c r="AL692" s="18">
        <f>$H692*M692</f>
      </c>
      <c r="AM692" s="14"/>
      <c r="AN692" s="14"/>
      <c r="AO692" s="14"/>
    </row>
    <row x14ac:dyDescent="0.25" r="693" customHeight="1" ht="17.25">
      <c r="A693" s="2" t="s">
        <v>1387</v>
      </c>
      <c r="B693" s="2" t="s">
        <v>1338</v>
      </c>
      <c r="C693" s="2" t="s">
        <v>56</v>
      </c>
      <c r="D693" s="2" t="s">
        <v>1167</v>
      </c>
      <c r="E693" s="2" t="s">
        <v>52</v>
      </c>
      <c r="F693" s="2" t="s">
        <v>1344</v>
      </c>
      <c r="G693" s="2" t="s">
        <v>108</v>
      </c>
      <c r="H693" s="13">
        <v>0.373</v>
      </c>
      <c r="I693" s="13">
        <v>2.27</v>
      </c>
      <c r="J693" s="13"/>
      <c r="K693" s="15">
        <f>20.249*31.1</f>
      </c>
      <c r="L693" s="13">
        <v>0.44</v>
      </c>
      <c r="M693" s="13">
        <f>0.018*31.1</f>
      </c>
      <c r="N693" s="15"/>
      <c r="O693" s="16"/>
      <c r="P693" s="13"/>
      <c r="Q693" s="13"/>
      <c r="R693" s="17"/>
      <c r="S693" s="13"/>
      <c r="T693" s="17"/>
      <c r="U693" s="13"/>
      <c r="V693" s="16"/>
      <c r="W693" s="13"/>
      <c r="X693" s="13"/>
      <c r="Y693" s="14"/>
      <c r="Z693" s="2"/>
      <c r="AA693" s="13">
        <f>H693*I693/100</f>
      </c>
      <c r="AB693" s="13">
        <f>H693*J693/100</f>
      </c>
      <c r="AC693" s="15">
        <f>H693*K693</f>
      </c>
      <c r="AD693" s="15">
        <f>H693*M693</f>
      </c>
      <c r="AE693" s="13">
        <f>H693*L693/100</f>
      </c>
      <c r="AF693" s="13">
        <f>AA693+AB693+AE693</f>
      </c>
      <c r="AG693" s="13">
        <f>I693+J693+L693</f>
      </c>
      <c r="AH693" s="18">
        <f>$H693*I693</f>
      </c>
      <c r="AI693" s="18">
        <f>$H693*J693</f>
      </c>
      <c r="AJ693" s="18">
        <f>$H693*K693</f>
      </c>
      <c r="AK693" s="18">
        <f>$H693*L693</f>
      </c>
      <c r="AL693" s="18">
        <f>$H693*M693</f>
      </c>
      <c r="AM693" s="14"/>
      <c r="AN693" s="14"/>
      <c r="AO693" s="14"/>
    </row>
    <row x14ac:dyDescent="0.25" r="694" customHeight="1" ht="17.25">
      <c r="A694" s="2" t="s">
        <v>1388</v>
      </c>
      <c r="B694" s="2" t="s">
        <v>1338</v>
      </c>
      <c r="C694" s="2" t="s">
        <v>68</v>
      </c>
      <c r="D694" s="2" t="s">
        <v>1389</v>
      </c>
      <c r="E694" s="2" t="s">
        <v>52</v>
      </c>
      <c r="F694" s="2" t="s">
        <v>1390</v>
      </c>
      <c r="G694" s="2" t="s">
        <v>1391</v>
      </c>
      <c r="H694" s="14">
        <v>3600</v>
      </c>
      <c r="I694" s="13"/>
      <c r="J694" s="19">
        <v>0.09</v>
      </c>
      <c r="K694" s="14"/>
      <c r="L694" s="13">
        <v>0.51</v>
      </c>
      <c r="M694" s="13"/>
      <c r="N694" s="15"/>
      <c r="O694" s="16"/>
      <c r="P694" s="13"/>
      <c r="Q694" s="13"/>
      <c r="R694" s="17"/>
      <c r="S694" s="13"/>
      <c r="T694" s="17"/>
      <c r="U694" s="13"/>
      <c r="V694" s="16"/>
      <c r="W694" s="13"/>
      <c r="X694" s="13"/>
      <c r="Y694" s="14"/>
      <c r="Z694" s="2"/>
      <c r="AA694" s="13">
        <f>H694*I694/100</f>
      </c>
      <c r="AB694" s="13">
        <f>H694*J694/100</f>
      </c>
      <c r="AC694" s="15">
        <f>H694*K694</f>
      </c>
      <c r="AD694" s="15">
        <f>H694*M694</f>
      </c>
      <c r="AE694" s="13">
        <f>H694*L694/100</f>
      </c>
      <c r="AF694" s="13">
        <f>AA694+AB694+AE694</f>
      </c>
      <c r="AG694" s="13">
        <f>I694+J694+L694</f>
      </c>
      <c r="AH694" s="18">
        <f>$H694*I694</f>
      </c>
      <c r="AI694" s="18">
        <f>$H694*J694</f>
      </c>
      <c r="AJ694" s="18">
        <f>$H694*K694</f>
      </c>
      <c r="AK694" s="18">
        <f>$H694*L694</f>
      </c>
      <c r="AL694" s="18">
        <f>$H694*M694</f>
      </c>
      <c r="AM694" s="14"/>
      <c r="AN694" s="14"/>
      <c r="AO694" s="14"/>
    </row>
    <row x14ac:dyDescent="0.25" r="695" customHeight="1" ht="17.25">
      <c r="A695" s="2" t="s">
        <v>1392</v>
      </c>
      <c r="B695" s="2" t="s">
        <v>1338</v>
      </c>
      <c r="C695" s="2" t="s">
        <v>159</v>
      </c>
      <c r="D695" s="2"/>
      <c r="E695" s="2" t="s">
        <v>52</v>
      </c>
      <c r="F695" s="2" t="s">
        <v>1344</v>
      </c>
      <c r="G695" s="2" t="s">
        <v>108</v>
      </c>
      <c r="H695" s="13">
        <v>0.123</v>
      </c>
      <c r="I695" s="13">
        <v>6.64</v>
      </c>
      <c r="J695" s="13">
        <v>8.47</v>
      </c>
      <c r="K695" s="15">
        <f>12.632*31.1</f>
      </c>
      <c r="L695" s="13"/>
      <c r="M695" s="13"/>
      <c r="N695" s="15"/>
      <c r="O695" s="16"/>
      <c r="P695" s="13"/>
      <c r="Q695" s="13"/>
      <c r="R695" s="17"/>
      <c r="S695" s="13"/>
      <c r="T695" s="17"/>
      <c r="U695" s="13"/>
      <c r="V695" s="16"/>
      <c r="W695" s="13"/>
      <c r="X695" s="13"/>
      <c r="Y695" s="14"/>
      <c r="Z695" s="2"/>
      <c r="AA695" s="13">
        <f>H695*I695/100</f>
      </c>
      <c r="AB695" s="13">
        <f>H695*J695/100</f>
      </c>
      <c r="AC695" s="15">
        <f>H695*K695</f>
      </c>
      <c r="AD695" s="15">
        <f>H695*M695</f>
      </c>
      <c r="AE695" s="13">
        <f>H695*L695/100</f>
      </c>
      <c r="AF695" s="13">
        <f>AA695+AB695+AE695</f>
      </c>
      <c r="AG695" s="13">
        <f>I695+J695+L695</f>
      </c>
      <c r="AH695" s="18">
        <f>$H695*I695</f>
      </c>
      <c r="AI695" s="18">
        <f>$H695*J695</f>
      </c>
      <c r="AJ695" s="18">
        <f>$H695*K695</f>
      </c>
      <c r="AK695" s="18">
        <f>$H695*L695</f>
      </c>
      <c r="AL695" s="18">
        <f>$H695*M695</f>
      </c>
      <c r="AM695" s="14"/>
      <c r="AN695" s="14"/>
      <c r="AO695" s="14"/>
    </row>
    <row x14ac:dyDescent="0.25" r="696" customHeight="1" ht="17.25">
      <c r="A696" s="2" t="s">
        <v>1393</v>
      </c>
      <c r="B696" s="2" t="s">
        <v>1338</v>
      </c>
      <c r="C696" s="2" t="s">
        <v>56</v>
      </c>
      <c r="D696" s="2" t="s">
        <v>1394</v>
      </c>
      <c r="E696" s="2" t="s">
        <v>52</v>
      </c>
      <c r="F696" s="2" t="s">
        <v>72</v>
      </c>
      <c r="G696" s="2" t="s">
        <v>73</v>
      </c>
      <c r="H696" s="13">
        <f>2.7+2.7+0.8+1.1+8</f>
      </c>
      <c r="I696" s="13">
        <f>(1.32*2.7+1.31*2.7+1.31*0.8+1.45*1.1+1.45*8)/$H696</f>
      </c>
      <c r="J696" s="13">
        <f>(4.32*2.7+4.06*2.7+3.57*0.8+3.37*1.1+5.11*8)/$H696</f>
      </c>
      <c r="K696" s="17">
        <f>(188*2.7+206*2.7+150*0.8+202*1.1+209*8)/$H696</f>
      </c>
      <c r="L696" s="13">
        <f>(0.47*2.7+0.69*2.7+0.41*0.8+0.54*1.1+0.43*8)/$H696</f>
      </c>
      <c r="M696" s="13"/>
      <c r="N696" s="15"/>
      <c r="O696" s="16"/>
      <c r="P696" s="13"/>
      <c r="Q696" s="13"/>
      <c r="R696" s="17"/>
      <c r="S696" s="13"/>
      <c r="T696" s="17"/>
      <c r="U696" s="13"/>
      <c r="V696" s="16"/>
      <c r="W696" s="13"/>
      <c r="X696" s="13"/>
      <c r="Y696" s="14"/>
      <c r="Z696" s="2"/>
      <c r="AA696" s="13">
        <f>H696*I696/100</f>
      </c>
      <c r="AB696" s="13">
        <f>H696*J696/100</f>
      </c>
      <c r="AC696" s="15">
        <f>H696*K696</f>
      </c>
      <c r="AD696" s="15">
        <f>H696*M696</f>
      </c>
      <c r="AE696" s="13">
        <f>H696*L696/100</f>
      </c>
      <c r="AF696" s="13">
        <f>AA696+AB696+AE696</f>
      </c>
      <c r="AG696" s="13">
        <f>I696+J696+L696</f>
      </c>
      <c r="AH696" s="18">
        <f>$H696*I696</f>
      </c>
      <c r="AI696" s="18">
        <f>$H696*J696</f>
      </c>
      <c r="AJ696" s="18">
        <f>$H696*K696</f>
      </c>
      <c r="AK696" s="18">
        <f>$H696*L696</f>
      </c>
      <c r="AL696" s="18">
        <f>$H696*M696</f>
      </c>
      <c r="AM696" s="14"/>
      <c r="AN696" s="14"/>
      <c r="AO696" s="14"/>
    </row>
    <row x14ac:dyDescent="0.25" r="697" customHeight="1" ht="17.25">
      <c r="A697" s="2" t="s">
        <v>1395</v>
      </c>
      <c r="B697" s="2" t="s">
        <v>1338</v>
      </c>
      <c r="C697" s="2" t="s">
        <v>189</v>
      </c>
      <c r="D697" s="2" t="s">
        <v>79</v>
      </c>
      <c r="E697" s="2" t="s">
        <v>52</v>
      </c>
      <c r="F697" s="2" t="s">
        <v>1342</v>
      </c>
      <c r="G697" s="2" t="s">
        <v>108</v>
      </c>
      <c r="H697" s="13">
        <v>6.79</v>
      </c>
      <c r="I697" s="13"/>
      <c r="J697" s="13">
        <v>0.23</v>
      </c>
      <c r="K697" s="15">
        <f>0.88*31.1</f>
      </c>
      <c r="L697" s="13">
        <v>0.75</v>
      </c>
      <c r="M697" s="13"/>
      <c r="N697" s="15"/>
      <c r="O697" s="16"/>
      <c r="P697" s="13"/>
      <c r="Q697" s="13"/>
      <c r="R697" s="17"/>
      <c r="S697" s="13"/>
      <c r="T697" s="17"/>
      <c r="U697" s="13"/>
      <c r="V697" s="16"/>
      <c r="W697" s="13"/>
      <c r="X697" s="13"/>
      <c r="Y697" s="14"/>
      <c r="Z697" s="2"/>
      <c r="AA697" s="13">
        <f>H697*I697/100</f>
      </c>
      <c r="AB697" s="13">
        <f>H697*J697/100</f>
      </c>
      <c r="AC697" s="15">
        <f>H697*K697</f>
      </c>
      <c r="AD697" s="15">
        <f>H697*M697</f>
      </c>
      <c r="AE697" s="13">
        <f>H697*L697/100</f>
      </c>
      <c r="AF697" s="13">
        <f>AA697+AB697+AE697</f>
      </c>
      <c r="AG697" s="13">
        <f>I697+J697+L697</f>
      </c>
      <c r="AH697" s="18">
        <f>$H697*I697</f>
      </c>
      <c r="AI697" s="18">
        <f>$H697*J697</f>
      </c>
      <c r="AJ697" s="18">
        <f>$H697*K697</f>
      </c>
      <c r="AK697" s="18">
        <f>$H697*L697</f>
      </c>
      <c r="AL697" s="18">
        <f>$H697*M697</f>
      </c>
      <c r="AM697" s="14"/>
      <c r="AN697" s="14"/>
      <c r="AO697" s="14"/>
    </row>
    <row x14ac:dyDescent="0.25" r="698" customHeight="1" ht="17.25">
      <c r="A698" s="2" t="s">
        <v>1396</v>
      </c>
      <c r="B698" s="2" t="s">
        <v>1338</v>
      </c>
      <c r="C698" s="2" t="s">
        <v>40</v>
      </c>
      <c r="D698" s="2" t="s">
        <v>169</v>
      </c>
      <c r="E698" s="2" t="s">
        <v>52</v>
      </c>
      <c r="F698" s="2" t="s">
        <v>1342</v>
      </c>
      <c r="G698" s="2" t="s">
        <v>108</v>
      </c>
      <c r="H698" s="14">
        <v>8</v>
      </c>
      <c r="I698" s="13"/>
      <c r="J698" s="13">
        <v>4.42</v>
      </c>
      <c r="K698" s="15">
        <f>0.63*31.1</f>
      </c>
      <c r="L698" s="13"/>
      <c r="M698" s="13"/>
      <c r="N698" s="15"/>
      <c r="O698" s="16"/>
      <c r="P698" s="13"/>
      <c r="Q698" s="13"/>
      <c r="R698" s="17"/>
      <c r="S698" s="13"/>
      <c r="T698" s="17"/>
      <c r="U698" s="13"/>
      <c r="V698" s="16"/>
      <c r="W698" s="13"/>
      <c r="X698" s="13"/>
      <c r="Y698" s="14"/>
      <c r="Z698" s="2"/>
      <c r="AA698" s="13">
        <f>H698*I698/100</f>
      </c>
      <c r="AB698" s="13">
        <f>H698*J698/100</f>
      </c>
      <c r="AC698" s="15">
        <f>H698*K698</f>
      </c>
      <c r="AD698" s="15">
        <f>H698*M698</f>
      </c>
      <c r="AE698" s="13">
        <f>H698*L698/100</f>
      </c>
      <c r="AF698" s="13">
        <f>AA698+AB698+AE698</f>
      </c>
      <c r="AG698" s="13">
        <f>I698+J698+L698</f>
      </c>
      <c r="AH698" s="18">
        <f>$H698*I698</f>
      </c>
      <c r="AI698" s="18">
        <f>$H698*J698</f>
      </c>
      <c r="AJ698" s="18">
        <f>$H698*K698</f>
      </c>
      <c r="AK698" s="18">
        <f>$H698*L698</f>
      </c>
      <c r="AL698" s="18">
        <f>$H698*M698</f>
      </c>
      <c r="AM698" s="14"/>
      <c r="AN698" s="14"/>
      <c r="AO698" s="14"/>
    </row>
    <row x14ac:dyDescent="0.25" r="699" customHeight="1" ht="17.25">
      <c r="A699" s="2" t="s">
        <v>1397</v>
      </c>
      <c r="B699" s="2" t="s">
        <v>1338</v>
      </c>
      <c r="C699" s="2" t="s">
        <v>56</v>
      </c>
      <c r="D699" s="2" t="s">
        <v>75</v>
      </c>
      <c r="E699" s="2" t="s">
        <v>52</v>
      </c>
      <c r="F699" s="2" t="s">
        <v>1217</v>
      </c>
      <c r="G699" s="2" t="s">
        <v>108</v>
      </c>
      <c r="H699" s="13">
        <v>10.828</v>
      </c>
      <c r="I699" s="13">
        <v>0.31</v>
      </c>
      <c r="J699" s="13">
        <v>0.5</v>
      </c>
      <c r="K699" s="14">
        <v>111</v>
      </c>
      <c r="L699" s="13"/>
      <c r="M699" s="13"/>
      <c r="N699" s="15"/>
      <c r="O699" s="16"/>
      <c r="P699" s="13"/>
      <c r="Q699" s="13"/>
      <c r="R699" s="17"/>
      <c r="S699" s="13"/>
      <c r="T699" s="17"/>
      <c r="U699" s="13"/>
      <c r="V699" s="16"/>
      <c r="W699" s="13"/>
      <c r="X699" s="13"/>
      <c r="Y699" s="14"/>
      <c r="Z699" s="2"/>
      <c r="AA699" s="13">
        <f>H699*I699/100</f>
      </c>
      <c r="AB699" s="13">
        <f>H699*J699/100</f>
      </c>
      <c r="AC699" s="15">
        <f>H699*K699</f>
      </c>
      <c r="AD699" s="15">
        <f>H699*M699</f>
      </c>
      <c r="AE699" s="13">
        <f>H699*L699/100</f>
      </c>
      <c r="AF699" s="13">
        <f>AA699+AB699+AE699</f>
      </c>
      <c r="AG699" s="13">
        <f>I699+J699+L699</f>
      </c>
      <c r="AH699" s="18">
        <f>$H699*I699</f>
      </c>
      <c r="AI699" s="18">
        <f>$H699*J699</f>
      </c>
      <c r="AJ699" s="18">
        <f>$H699*K699</f>
      </c>
      <c r="AK699" s="18">
        <f>$H699*L699</f>
      </c>
      <c r="AL699" s="18">
        <f>$H699*M699</f>
      </c>
      <c r="AM699" s="14"/>
      <c r="AN699" s="14"/>
      <c r="AO699" s="14"/>
    </row>
    <row x14ac:dyDescent="0.25" r="700" customHeight="1" ht="17.25">
      <c r="A700" s="2" t="s">
        <v>1398</v>
      </c>
      <c r="B700" s="2" t="s">
        <v>1338</v>
      </c>
      <c r="C700" s="2" t="s">
        <v>40</v>
      </c>
      <c r="D700" s="2" t="s">
        <v>169</v>
      </c>
      <c r="E700" s="2" t="s">
        <v>52</v>
      </c>
      <c r="F700" s="2" t="s">
        <v>659</v>
      </c>
      <c r="G700" s="2" t="s">
        <v>1399</v>
      </c>
      <c r="H700" s="13">
        <v>0.79</v>
      </c>
      <c r="I700" s="13">
        <v>0.7</v>
      </c>
      <c r="J700" s="13">
        <v>8.01</v>
      </c>
      <c r="K700" s="13">
        <v>58.8</v>
      </c>
      <c r="L700" s="13"/>
      <c r="M700" s="13"/>
      <c r="N700" s="15"/>
      <c r="O700" s="16"/>
      <c r="P700" s="13"/>
      <c r="Q700" s="13"/>
      <c r="R700" s="17"/>
      <c r="S700" s="13"/>
      <c r="T700" s="17"/>
      <c r="U700" s="13"/>
      <c r="V700" s="16"/>
      <c r="W700" s="13"/>
      <c r="X700" s="13"/>
      <c r="Y700" s="14"/>
      <c r="Z700" s="2"/>
      <c r="AA700" s="13">
        <f>H700*I700/100</f>
      </c>
      <c r="AB700" s="13">
        <f>H700*J700/100</f>
      </c>
      <c r="AC700" s="15">
        <f>H700*K700</f>
      </c>
      <c r="AD700" s="15">
        <f>H700*M700</f>
      </c>
      <c r="AE700" s="13">
        <f>H700*L700/100</f>
      </c>
      <c r="AF700" s="13">
        <f>AA700+AB700+AE700</f>
      </c>
      <c r="AG700" s="13">
        <f>I700+J700+L700</f>
      </c>
      <c r="AH700" s="18">
        <f>$H700*I700</f>
      </c>
      <c r="AI700" s="18">
        <f>$H700*J700</f>
      </c>
      <c r="AJ700" s="18">
        <f>$H700*K700</f>
      </c>
      <c r="AK700" s="18">
        <f>$H700*L700</f>
      </c>
      <c r="AL700" s="18">
        <f>$H700*M700</f>
      </c>
      <c r="AM700" s="14"/>
      <c r="AN700" s="14"/>
      <c r="AO700" s="14"/>
    </row>
    <row x14ac:dyDescent="0.25" r="701" customHeight="1" ht="17.25">
      <c r="A701" s="2" t="s">
        <v>1400</v>
      </c>
      <c r="B701" s="2" t="s">
        <v>1338</v>
      </c>
      <c r="C701" s="2" t="s">
        <v>56</v>
      </c>
      <c r="D701" s="2" t="s">
        <v>75</v>
      </c>
      <c r="E701" s="2" t="s">
        <v>52</v>
      </c>
      <c r="F701" s="2" t="s">
        <v>1352</v>
      </c>
      <c r="G701" s="2" t="s">
        <v>1353</v>
      </c>
      <c r="H701" s="16">
        <f>1.405+3.4352+4.3236</f>
      </c>
      <c r="I701" s="13">
        <f>(1.09*1.405+0.72*3.4352+0.76*4.3236)/$H701</f>
      </c>
      <c r="J701" s="13">
        <f>(3.47*1.405+1.98*3.4352+2.36*4.3236)/$H701</f>
      </c>
      <c r="K701" s="17">
        <f>(148*1.405+113*3.4352+107*4.3236)/$H701</f>
      </c>
      <c r="L701" s="13">
        <f>(1.07*1.405+1.51*3.4352+0.76*4.3236)/$H701</f>
      </c>
      <c r="M701" s="13">
        <f>(0.69*1.405+0.66*3.4352+0.35*4.3236)/$H701</f>
      </c>
      <c r="N701" s="15"/>
      <c r="O701" s="16"/>
      <c r="P701" s="13"/>
      <c r="Q701" s="13"/>
      <c r="R701" s="17"/>
      <c r="S701" s="13"/>
      <c r="T701" s="17"/>
      <c r="U701" s="13"/>
      <c r="V701" s="16"/>
      <c r="W701" s="13"/>
      <c r="X701" s="13"/>
      <c r="Y701" s="14"/>
      <c r="Z701" s="2"/>
      <c r="AA701" s="13">
        <f>H701*I701/100</f>
      </c>
      <c r="AB701" s="13">
        <f>H701*J701/100</f>
      </c>
      <c r="AC701" s="15">
        <f>H701*K701</f>
      </c>
      <c r="AD701" s="15">
        <f>H701*M701</f>
      </c>
      <c r="AE701" s="13">
        <f>H701*L701/100</f>
      </c>
      <c r="AF701" s="13">
        <f>AA701+AB701+AE701</f>
      </c>
      <c r="AG701" s="13">
        <f>I701+J701+L701</f>
      </c>
      <c r="AH701" s="18">
        <f>$H701*I701</f>
      </c>
      <c r="AI701" s="18">
        <f>$H701*J701</f>
      </c>
      <c r="AJ701" s="18">
        <f>$H701*K701</f>
      </c>
      <c r="AK701" s="18">
        <f>$H701*L701</f>
      </c>
      <c r="AL701" s="18">
        <f>$H701*M701</f>
      </c>
      <c r="AM701" s="14"/>
      <c r="AN701" s="14"/>
      <c r="AO701" s="14"/>
    </row>
    <row x14ac:dyDescent="0.25" r="702" customHeight="1" ht="17.25">
      <c r="A702" s="2" t="s">
        <v>1401</v>
      </c>
      <c r="B702" s="2" t="s">
        <v>1338</v>
      </c>
      <c r="C702" s="2" t="s">
        <v>56</v>
      </c>
      <c r="D702" s="2"/>
      <c r="E702" s="2" t="s">
        <v>52</v>
      </c>
      <c r="F702" s="2" t="s">
        <v>1344</v>
      </c>
      <c r="G702" s="2" t="s">
        <v>108</v>
      </c>
      <c r="H702" s="13">
        <v>0.064</v>
      </c>
      <c r="I702" s="13">
        <v>3.55</v>
      </c>
      <c r="J702" s="13">
        <v>6.49</v>
      </c>
      <c r="K702" s="15">
        <f>9.899*31.1</f>
      </c>
      <c r="L702" s="13"/>
      <c r="M702" s="13"/>
      <c r="N702" s="15"/>
      <c r="O702" s="16"/>
      <c r="P702" s="13"/>
      <c r="Q702" s="13"/>
      <c r="R702" s="17"/>
      <c r="S702" s="13"/>
      <c r="T702" s="17"/>
      <c r="U702" s="13"/>
      <c r="V702" s="16"/>
      <c r="W702" s="13"/>
      <c r="X702" s="13"/>
      <c r="Y702" s="14"/>
      <c r="Z702" s="2"/>
      <c r="AA702" s="13">
        <f>H702*I702/100</f>
      </c>
      <c r="AB702" s="13">
        <f>H702*J702/100</f>
      </c>
      <c r="AC702" s="15">
        <f>H702*K702</f>
      </c>
      <c r="AD702" s="15">
        <f>H702*M702</f>
      </c>
      <c r="AE702" s="13">
        <f>H702*L702/100</f>
      </c>
      <c r="AF702" s="13">
        <f>AA702+AB702+AE702</f>
      </c>
      <c r="AG702" s="13">
        <f>I702+J702+L702</f>
      </c>
      <c r="AH702" s="18">
        <f>$H702*I702</f>
      </c>
      <c r="AI702" s="18">
        <f>$H702*J702</f>
      </c>
      <c r="AJ702" s="18">
        <f>$H702*K702</f>
      </c>
      <c r="AK702" s="18">
        <f>$H702*L702</f>
      </c>
      <c r="AL702" s="18">
        <f>$H702*M702</f>
      </c>
      <c r="AM702" s="14"/>
      <c r="AN702" s="14"/>
      <c r="AO702" s="14"/>
    </row>
    <row x14ac:dyDescent="0.25" r="703" customHeight="1" ht="17.25">
      <c r="A703" s="2" t="s">
        <v>1402</v>
      </c>
      <c r="B703" s="2" t="s">
        <v>1338</v>
      </c>
      <c r="C703" s="2" t="s">
        <v>56</v>
      </c>
      <c r="D703" s="2" t="s">
        <v>75</v>
      </c>
      <c r="E703" s="2" t="s">
        <v>52</v>
      </c>
      <c r="F703" s="2" t="s">
        <v>1342</v>
      </c>
      <c r="G703" s="2" t="s">
        <v>108</v>
      </c>
      <c r="H703" s="13">
        <v>1.49</v>
      </c>
      <c r="I703" s="13">
        <v>0.69</v>
      </c>
      <c r="J703" s="13">
        <v>1.16</v>
      </c>
      <c r="K703" s="17">
        <f>9.08*31.1</f>
      </c>
      <c r="L703" s="13">
        <v>0.26</v>
      </c>
      <c r="M703" s="13">
        <v>0.28</v>
      </c>
      <c r="N703" s="15"/>
      <c r="O703" s="16"/>
      <c r="P703" s="13"/>
      <c r="Q703" s="13"/>
      <c r="R703" s="17"/>
      <c r="S703" s="13"/>
      <c r="T703" s="17"/>
      <c r="U703" s="13"/>
      <c r="V703" s="16"/>
      <c r="W703" s="13"/>
      <c r="X703" s="13"/>
      <c r="Y703" s="14"/>
      <c r="Z703" s="2"/>
      <c r="AA703" s="13">
        <f>H703*I703/100</f>
      </c>
      <c r="AB703" s="13">
        <f>H703*J703/100</f>
      </c>
      <c r="AC703" s="15">
        <f>H703*K703</f>
      </c>
      <c r="AD703" s="15">
        <f>H703*M703</f>
      </c>
      <c r="AE703" s="13">
        <f>H703*L703/100</f>
      </c>
      <c r="AF703" s="13">
        <f>AA703+AB703+AE703</f>
      </c>
      <c r="AG703" s="13">
        <f>I703+J703+L703</f>
      </c>
      <c r="AH703" s="18">
        <f>$H703*I703</f>
      </c>
      <c r="AI703" s="18">
        <f>$H703*J703</f>
      </c>
      <c r="AJ703" s="18">
        <f>$H703*K703</f>
      </c>
      <c r="AK703" s="18">
        <f>$H703*L703</f>
      </c>
      <c r="AL703" s="18">
        <f>$H703*M703</f>
      </c>
      <c r="AM703" s="14"/>
      <c r="AN703" s="14"/>
      <c r="AO703" s="14"/>
    </row>
    <row x14ac:dyDescent="0.25" r="704" customHeight="1" ht="17.25">
      <c r="A704" s="2" t="s">
        <v>1403</v>
      </c>
      <c r="B704" s="2" t="s">
        <v>1338</v>
      </c>
      <c r="C704" s="2" t="s">
        <v>56</v>
      </c>
      <c r="D704" s="2" t="s">
        <v>291</v>
      </c>
      <c r="E704" s="2" t="s">
        <v>52</v>
      </c>
      <c r="F704" s="2" t="s">
        <v>1376</v>
      </c>
      <c r="G704" s="2" t="s">
        <v>1404</v>
      </c>
      <c r="H704" s="16">
        <v>79.933811</v>
      </c>
      <c r="I704" s="13">
        <v>1.528</v>
      </c>
      <c r="J704" s="13">
        <v>5.223</v>
      </c>
      <c r="K704" s="15">
        <f>0.308*31.1</f>
      </c>
      <c r="L704" s="13"/>
      <c r="M704" s="13"/>
      <c r="N704" s="15"/>
      <c r="O704" s="16"/>
      <c r="P704" s="13"/>
      <c r="Q704" s="13"/>
      <c r="R704" s="17"/>
      <c r="S704" s="13"/>
      <c r="T704" s="17"/>
      <c r="U704" s="13"/>
      <c r="V704" s="16"/>
      <c r="W704" s="13"/>
      <c r="X704" s="13"/>
      <c r="Y704" s="14"/>
      <c r="Z704" s="2"/>
      <c r="AA704" s="13">
        <f>H704*I704/100</f>
      </c>
      <c r="AB704" s="13">
        <f>H704*J704/100</f>
      </c>
      <c r="AC704" s="15">
        <f>H704*K704</f>
      </c>
      <c r="AD704" s="15">
        <f>H704*M704</f>
      </c>
      <c r="AE704" s="13">
        <f>H704*L704/100</f>
      </c>
      <c r="AF704" s="13">
        <f>AA704+AB704+AE704</f>
      </c>
      <c r="AG704" s="13">
        <f>I704+J704+L704</f>
      </c>
      <c r="AH704" s="18">
        <f>$H704*I704</f>
      </c>
      <c r="AI704" s="18">
        <f>$H704*J704</f>
      </c>
      <c r="AJ704" s="18">
        <f>$H704*K704</f>
      </c>
      <c r="AK704" s="18">
        <f>$H704*L704</f>
      </c>
      <c r="AL704" s="18">
        <f>$H704*M704</f>
      </c>
      <c r="AM704" s="14"/>
      <c r="AN704" s="14"/>
      <c r="AO704" s="14"/>
    </row>
    <row x14ac:dyDescent="0.25" r="705" customHeight="1" ht="17.25">
      <c r="A705" s="2" t="s">
        <v>1405</v>
      </c>
      <c r="B705" s="2" t="s">
        <v>1338</v>
      </c>
      <c r="C705" s="2" t="s">
        <v>56</v>
      </c>
      <c r="D705" s="2" t="s">
        <v>75</v>
      </c>
      <c r="E705" s="2" t="s">
        <v>52</v>
      </c>
      <c r="F705" s="2" t="s">
        <v>1342</v>
      </c>
      <c r="G705" s="2" t="s">
        <v>108</v>
      </c>
      <c r="H705" s="13">
        <v>0.91</v>
      </c>
      <c r="I705" s="13">
        <v>3.85</v>
      </c>
      <c r="J705" s="13">
        <v>6.06</v>
      </c>
      <c r="K705" s="15">
        <f>8.69*31.1</f>
      </c>
      <c r="L705" s="13"/>
      <c r="M705" s="13"/>
      <c r="N705" s="15"/>
      <c r="O705" s="16"/>
      <c r="P705" s="13"/>
      <c r="Q705" s="13"/>
      <c r="R705" s="17"/>
      <c r="S705" s="13"/>
      <c r="T705" s="17"/>
      <c r="U705" s="13"/>
      <c r="V705" s="16"/>
      <c r="W705" s="13"/>
      <c r="X705" s="13"/>
      <c r="Y705" s="14"/>
      <c r="Z705" s="2"/>
      <c r="AA705" s="13">
        <f>H705*I705/100</f>
      </c>
      <c r="AB705" s="13">
        <f>H705*J705/100</f>
      </c>
      <c r="AC705" s="15">
        <f>H705*K705</f>
      </c>
      <c r="AD705" s="15">
        <f>H705*M705</f>
      </c>
      <c r="AE705" s="13">
        <f>H705*L705/100</f>
      </c>
      <c r="AF705" s="13">
        <f>AA705+AB705+AE705</f>
      </c>
      <c r="AG705" s="13">
        <f>I705+J705+L705</f>
      </c>
      <c r="AH705" s="18">
        <f>$H705*I705</f>
      </c>
      <c r="AI705" s="18">
        <f>$H705*J705</f>
      </c>
      <c r="AJ705" s="18">
        <f>$H705*K705</f>
      </c>
      <c r="AK705" s="18">
        <f>$H705*L705</f>
      </c>
      <c r="AL705" s="18">
        <f>$H705*M705</f>
      </c>
      <c r="AM705" s="14"/>
      <c r="AN705" s="14"/>
      <c r="AO705" s="14"/>
    </row>
    <row x14ac:dyDescent="0.25" r="706" customHeight="1" ht="17.25">
      <c r="A706" s="2" t="s">
        <v>1406</v>
      </c>
      <c r="B706" s="2" t="s">
        <v>1338</v>
      </c>
      <c r="C706" s="2" t="s">
        <v>159</v>
      </c>
      <c r="D706" s="2"/>
      <c r="E706" s="2" t="s">
        <v>52</v>
      </c>
      <c r="F706" s="2" t="s">
        <v>489</v>
      </c>
      <c r="G706" s="2" t="s">
        <v>293</v>
      </c>
      <c r="H706" s="13">
        <f>8.544+22.511</f>
      </c>
      <c r="I706" s="13">
        <f>(1.06*8.544+0.32*22.511)/$H706</f>
      </c>
      <c r="J706" s="13">
        <f>(3.05*8.544+3.42*22.511)/$H706</f>
      </c>
      <c r="K706" s="17">
        <f>(35*8.544+18*22.511)/$H706</f>
      </c>
      <c r="L706" s="13">
        <f>(0.06*8.544+0.09*22.511)/$H706</f>
      </c>
      <c r="M706" s="13"/>
      <c r="N706" s="15"/>
      <c r="O706" s="16"/>
      <c r="P706" s="13"/>
      <c r="Q706" s="13"/>
      <c r="R706" s="17"/>
      <c r="S706" s="13"/>
      <c r="T706" s="17"/>
      <c r="U706" s="13"/>
      <c r="V706" s="16"/>
      <c r="W706" s="13"/>
      <c r="X706" s="13"/>
      <c r="Y706" s="14"/>
      <c r="Z706" s="2"/>
      <c r="AA706" s="13">
        <f>H706*I706/100</f>
      </c>
      <c r="AB706" s="13">
        <f>H706*J706/100</f>
      </c>
      <c r="AC706" s="15">
        <f>H706*K706</f>
      </c>
      <c r="AD706" s="15">
        <f>H706*M706</f>
      </c>
      <c r="AE706" s="13">
        <f>H706*L706/100</f>
      </c>
      <c r="AF706" s="13">
        <f>AA706+AB706+AE706</f>
      </c>
      <c r="AG706" s="13">
        <f>I706+J706+L706</f>
      </c>
      <c r="AH706" s="18">
        <f>$H706*I706</f>
      </c>
      <c r="AI706" s="18">
        <f>$H706*J706</f>
      </c>
      <c r="AJ706" s="18">
        <f>$H706*K706</f>
      </c>
      <c r="AK706" s="18">
        <f>$H706*L706</f>
      </c>
      <c r="AL706" s="18">
        <f>$H706*M706</f>
      </c>
      <c r="AM706" s="14"/>
      <c r="AN706" s="14"/>
      <c r="AO706" s="14"/>
    </row>
    <row x14ac:dyDescent="0.25" r="707" customHeight="1" ht="17.25">
      <c r="A707" s="2" t="s">
        <v>1407</v>
      </c>
      <c r="B707" s="2" t="s">
        <v>1338</v>
      </c>
      <c r="C707" s="2" t="s">
        <v>1408</v>
      </c>
      <c r="D707" s="2"/>
      <c r="E707" s="21" t="s">
        <v>198</v>
      </c>
      <c r="F707" s="2" t="s">
        <v>489</v>
      </c>
      <c r="G707" s="2" t="s">
        <v>293</v>
      </c>
      <c r="H707" s="13">
        <v>4.192</v>
      </c>
      <c r="I707" s="13"/>
      <c r="J707" s="13">
        <v>1.93</v>
      </c>
      <c r="K707" s="14"/>
      <c r="L707" s="13"/>
      <c r="M707" s="13"/>
      <c r="N707" s="15"/>
      <c r="O707" s="16"/>
      <c r="P707" s="13"/>
      <c r="Q707" s="13"/>
      <c r="R707" s="17"/>
      <c r="S707" s="13"/>
      <c r="T707" s="17"/>
      <c r="U707" s="13"/>
      <c r="V707" s="16"/>
      <c r="W707" s="13"/>
      <c r="X707" s="13"/>
      <c r="Y707" s="14"/>
      <c r="Z707" s="2"/>
      <c r="AA707" s="13">
        <f>H707*I707/100</f>
      </c>
      <c r="AB707" s="13">
        <f>H707*J707/100</f>
      </c>
      <c r="AC707" s="15">
        <f>H707*K707</f>
      </c>
      <c r="AD707" s="15">
        <f>H707*M707</f>
      </c>
      <c r="AE707" s="13">
        <f>H707*L707/100</f>
      </c>
      <c r="AF707" s="13">
        <f>AA707+AB707+AE707</f>
      </c>
      <c r="AG707" s="13">
        <f>I707+J707+L707</f>
      </c>
      <c r="AH707" s="18">
        <f>$H707*I707</f>
      </c>
      <c r="AI707" s="18">
        <f>$H707*J707</f>
      </c>
      <c r="AJ707" s="18">
        <f>$H707*K707</f>
      </c>
      <c r="AK707" s="18">
        <f>$H707*L707</f>
      </c>
      <c r="AL707" s="18">
        <f>$H707*M707</f>
      </c>
      <c r="AM707" s="14"/>
      <c r="AN707" s="14"/>
      <c r="AO707" s="14"/>
    </row>
    <row x14ac:dyDescent="0.25" r="708" customHeight="1" ht="17.25">
      <c r="A708" s="2" t="s">
        <v>1409</v>
      </c>
      <c r="B708" s="2" t="s">
        <v>1338</v>
      </c>
      <c r="C708" s="2" t="s">
        <v>56</v>
      </c>
      <c r="D708" s="2" t="s">
        <v>75</v>
      </c>
      <c r="E708" s="2" t="s">
        <v>52</v>
      </c>
      <c r="F708" s="2" t="s">
        <v>1376</v>
      </c>
      <c r="G708" s="2" t="s">
        <v>1404</v>
      </c>
      <c r="H708" s="13">
        <v>45.926</v>
      </c>
      <c r="I708" s="13">
        <v>0.86</v>
      </c>
      <c r="J708" s="13">
        <v>2.53</v>
      </c>
      <c r="K708" s="15">
        <f>0.92*31.1</f>
      </c>
      <c r="L708" s="13"/>
      <c r="M708" s="13"/>
      <c r="N708" s="15"/>
      <c r="O708" s="16"/>
      <c r="P708" s="13"/>
      <c r="Q708" s="13"/>
      <c r="R708" s="17"/>
      <c r="S708" s="13"/>
      <c r="T708" s="17"/>
      <c r="U708" s="13"/>
      <c r="V708" s="16"/>
      <c r="W708" s="13"/>
      <c r="X708" s="13"/>
      <c r="Y708" s="14"/>
      <c r="Z708" s="2"/>
      <c r="AA708" s="13">
        <f>H708*I708/100</f>
      </c>
      <c r="AB708" s="13">
        <f>H708*J708/100</f>
      </c>
      <c r="AC708" s="15">
        <f>H708*K708</f>
      </c>
      <c r="AD708" s="15">
        <f>H708*M708</f>
      </c>
      <c r="AE708" s="13">
        <f>H708*L708/100</f>
      </c>
      <c r="AF708" s="13">
        <f>AA708+AB708+AE708</f>
      </c>
      <c r="AG708" s="13">
        <f>I708+J708+L708</f>
      </c>
      <c r="AH708" s="18">
        <f>$H708*I708</f>
      </c>
      <c r="AI708" s="18">
        <f>$H708*J708</f>
      </c>
      <c r="AJ708" s="18">
        <f>$H708*K708</f>
      </c>
      <c r="AK708" s="18">
        <f>$H708*L708</f>
      </c>
      <c r="AL708" s="18">
        <f>$H708*M708</f>
      </c>
      <c r="AM708" s="14"/>
      <c r="AN708" s="14"/>
      <c r="AO708" s="14"/>
    </row>
    <row x14ac:dyDescent="0.25" r="709" customHeight="1" ht="17.25">
      <c r="A709" s="2" t="s">
        <v>1410</v>
      </c>
      <c r="B709" s="2" t="s">
        <v>1338</v>
      </c>
      <c r="C709" s="2" t="s">
        <v>56</v>
      </c>
      <c r="D709" s="2" t="s">
        <v>75</v>
      </c>
      <c r="E709" s="2" t="s">
        <v>52</v>
      </c>
      <c r="F709" s="2" t="s">
        <v>1344</v>
      </c>
      <c r="G709" s="2" t="s">
        <v>108</v>
      </c>
      <c r="H709" s="13">
        <v>1.6</v>
      </c>
      <c r="I709" s="13">
        <v>2.1</v>
      </c>
      <c r="J709" s="15">
        <v>3</v>
      </c>
      <c r="K709" s="17">
        <f>9.2*31.1</f>
      </c>
      <c r="L709" s="13"/>
      <c r="M709" s="13">
        <v>13.6</v>
      </c>
      <c r="N709" s="15"/>
      <c r="O709" s="16"/>
      <c r="P709" s="13"/>
      <c r="Q709" s="13"/>
      <c r="R709" s="17"/>
      <c r="S709" s="13"/>
      <c r="T709" s="17"/>
      <c r="U709" s="13"/>
      <c r="V709" s="16"/>
      <c r="W709" s="13"/>
      <c r="X709" s="13"/>
      <c r="Y709" s="14"/>
      <c r="Z709" s="2"/>
      <c r="AA709" s="13">
        <f>H709*I709/100</f>
      </c>
      <c r="AB709" s="13">
        <f>H709*J709/100</f>
      </c>
      <c r="AC709" s="15">
        <f>H709*K709</f>
      </c>
      <c r="AD709" s="15">
        <f>H709*M709</f>
      </c>
      <c r="AE709" s="13">
        <f>H709*L709/100</f>
      </c>
      <c r="AF709" s="13">
        <f>AA709+AB709+AE709</f>
      </c>
      <c r="AG709" s="13">
        <f>I709+J709+L709</f>
      </c>
      <c r="AH709" s="18">
        <f>$H709*I709</f>
      </c>
      <c r="AI709" s="18">
        <f>$H709*J709</f>
      </c>
      <c r="AJ709" s="18">
        <f>$H709*K709</f>
      </c>
      <c r="AK709" s="18">
        <f>$H709*L709</f>
      </c>
      <c r="AL709" s="18">
        <f>$H709*M709</f>
      </c>
      <c r="AM709" s="14"/>
      <c r="AN709" s="14"/>
      <c r="AO709" s="14"/>
    </row>
    <row x14ac:dyDescent="0.25" r="710" customHeight="1" ht="17.25">
      <c r="A710" s="2" t="s">
        <v>1411</v>
      </c>
      <c r="B710" s="2" t="s">
        <v>1338</v>
      </c>
      <c r="C710" s="2" t="s">
        <v>159</v>
      </c>
      <c r="D710" s="2"/>
      <c r="E710" s="2" t="s">
        <v>52</v>
      </c>
      <c r="F710" s="2" t="s">
        <v>1344</v>
      </c>
      <c r="G710" s="2" t="s">
        <v>108</v>
      </c>
      <c r="H710" s="13">
        <f>3.485+0.064+0.287</f>
      </c>
      <c r="I710" s="13">
        <f>(1.05*3.485+5.1*0.064+0*0.287)/$H710</f>
      </c>
      <c r="J710" s="13">
        <f>(1.42*3.485+6.6*0.064+0*0.287)/$H710</f>
      </c>
      <c r="K710" s="15">
        <f>31.1*(16.854*3.485+7.496*0.064+19.742*0.287)/$H710</f>
      </c>
      <c r="L710" s="13"/>
      <c r="M710" s="13"/>
      <c r="N710" s="15"/>
      <c r="O710" s="16"/>
      <c r="P710" s="13"/>
      <c r="Q710" s="13"/>
      <c r="R710" s="17"/>
      <c r="S710" s="13"/>
      <c r="T710" s="17"/>
      <c r="U710" s="13"/>
      <c r="V710" s="16"/>
      <c r="W710" s="13"/>
      <c r="X710" s="13"/>
      <c r="Y710" s="14"/>
      <c r="Z710" s="2"/>
      <c r="AA710" s="13">
        <f>H710*I710/100</f>
      </c>
      <c r="AB710" s="13">
        <f>H710*J710/100</f>
      </c>
      <c r="AC710" s="15">
        <f>H710*K710</f>
      </c>
      <c r="AD710" s="15">
        <f>H710*M710</f>
      </c>
      <c r="AE710" s="13">
        <f>H710*L710/100</f>
      </c>
      <c r="AF710" s="13">
        <f>AA710+AB710+AE710</f>
      </c>
      <c r="AG710" s="13">
        <f>I710+J710+L710</f>
      </c>
      <c r="AH710" s="18">
        <f>$H710*I710</f>
      </c>
      <c r="AI710" s="18">
        <f>$H710*J710</f>
      </c>
      <c r="AJ710" s="18">
        <f>$H710*K710</f>
      </c>
      <c r="AK710" s="18">
        <f>$H710*L710</f>
      </c>
      <c r="AL710" s="18">
        <f>$H710*M710</f>
      </c>
      <c r="AM710" s="14"/>
      <c r="AN710" s="14"/>
      <c r="AO710" s="14"/>
    </row>
    <row x14ac:dyDescent="0.25" r="711" customHeight="1" ht="17.25">
      <c r="A711" s="2" t="s">
        <v>1412</v>
      </c>
      <c r="B711" s="2" t="s">
        <v>1338</v>
      </c>
      <c r="C711" s="2" t="s">
        <v>56</v>
      </c>
      <c r="D711" s="2" t="s">
        <v>310</v>
      </c>
      <c r="E711" s="2" t="s">
        <v>52</v>
      </c>
      <c r="F711" s="2" t="s">
        <v>1342</v>
      </c>
      <c r="G711" s="2" t="s">
        <v>108</v>
      </c>
      <c r="H711" s="13">
        <f>0.187+0.821+0.341</f>
      </c>
      <c r="I711" s="13">
        <f>(1.94*0.187+1.3*0.821+2.12*0.341)/$H711</f>
      </c>
      <c r="J711" s="13">
        <f>(2.02*0.187+3*0.821+4.16*0.341)/$H711</f>
      </c>
      <c r="K711" s="15">
        <f>31.1*(6.06*0.187+4.4*0.821+4.63*0.341)/$H711</f>
      </c>
      <c r="L711" s="13">
        <f>(0.01*0.187+0.15*0.821+0.09*0.341)/$H711</f>
      </c>
      <c r="M711" s="13"/>
      <c r="N711" s="15"/>
      <c r="O711" s="16"/>
      <c r="P711" s="13"/>
      <c r="Q711" s="13"/>
      <c r="R711" s="17"/>
      <c r="S711" s="13"/>
      <c r="T711" s="17"/>
      <c r="U711" s="13"/>
      <c r="V711" s="16"/>
      <c r="W711" s="13"/>
      <c r="X711" s="13"/>
      <c r="Y711" s="14"/>
      <c r="Z711" s="2"/>
      <c r="AA711" s="13">
        <f>H711*I711/100</f>
      </c>
      <c r="AB711" s="13">
        <f>H711*J711/100</f>
      </c>
      <c r="AC711" s="15">
        <f>H711*K711</f>
      </c>
      <c r="AD711" s="15">
        <f>H711*M711</f>
      </c>
      <c r="AE711" s="13">
        <f>H711*L711/100</f>
      </c>
      <c r="AF711" s="13">
        <f>AA711+AB711+AE711</f>
      </c>
      <c r="AG711" s="13">
        <f>I711+J711+L711</f>
      </c>
      <c r="AH711" s="18">
        <f>$H711*I711</f>
      </c>
      <c r="AI711" s="18">
        <f>$H711*J711</f>
      </c>
      <c r="AJ711" s="18">
        <f>$H711*K711</f>
      </c>
      <c r="AK711" s="18">
        <f>$H711*L711</f>
      </c>
      <c r="AL711" s="18">
        <f>$H711*M711</f>
      </c>
      <c r="AM711" s="14"/>
      <c r="AN711" s="14"/>
      <c r="AO711" s="14"/>
    </row>
    <row x14ac:dyDescent="0.25" r="712" customHeight="1" ht="17.25">
      <c r="A712" s="2" t="s">
        <v>1413</v>
      </c>
      <c r="B712" s="2" t="s">
        <v>1338</v>
      </c>
      <c r="C712" s="2" t="s">
        <v>159</v>
      </c>
      <c r="D712" s="2" t="s">
        <v>1140</v>
      </c>
      <c r="E712" s="2" t="s">
        <v>52</v>
      </c>
      <c r="F712" s="2" t="s">
        <v>1339</v>
      </c>
      <c r="G712" s="2" t="s">
        <v>776</v>
      </c>
      <c r="H712" s="13">
        <f>26.491+1.169</f>
      </c>
      <c r="I712" s="13">
        <f>(2.18*26.491+1.09*1.169)/$H712</f>
      </c>
      <c r="J712" s="13">
        <f>(2.37*26.491+2.17*1.169)/$H712</f>
      </c>
      <c r="K712" s="14"/>
      <c r="L712" s="13"/>
      <c r="M712" s="13"/>
      <c r="N712" s="15"/>
      <c r="O712" s="16"/>
      <c r="P712" s="13"/>
      <c r="Q712" s="13"/>
      <c r="R712" s="17"/>
      <c r="S712" s="13"/>
      <c r="T712" s="17"/>
      <c r="U712" s="13"/>
      <c r="V712" s="16"/>
      <c r="W712" s="13"/>
      <c r="X712" s="13"/>
      <c r="Y712" s="14"/>
      <c r="Z712" s="2"/>
      <c r="AA712" s="13">
        <f>H712*I712/100</f>
      </c>
      <c r="AB712" s="13">
        <f>H712*J712/100</f>
      </c>
      <c r="AC712" s="15">
        <f>H712*K712</f>
      </c>
      <c r="AD712" s="15">
        <f>H712*M712</f>
      </c>
      <c r="AE712" s="13">
        <f>H712*L712/100</f>
      </c>
      <c r="AF712" s="13">
        <f>AA712+AB712+AE712</f>
      </c>
      <c r="AG712" s="13">
        <f>I712+J712+L712</f>
      </c>
      <c r="AH712" s="18">
        <f>$H712*I712</f>
      </c>
      <c r="AI712" s="18">
        <f>$H712*J712</f>
      </c>
      <c r="AJ712" s="18">
        <f>$H712*K712</f>
      </c>
      <c r="AK712" s="18">
        <f>$H712*L712</f>
      </c>
      <c r="AL712" s="18">
        <f>$H712*M712</f>
      </c>
      <c r="AM712" s="14"/>
      <c r="AN712" s="14"/>
      <c r="AO712" s="14"/>
    </row>
    <row x14ac:dyDescent="0.25" r="713" customHeight="1" ht="17.25">
      <c r="A713" s="2" t="s">
        <v>1414</v>
      </c>
      <c r="B713" s="2" t="s">
        <v>1338</v>
      </c>
      <c r="C713" s="2" t="s">
        <v>159</v>
      </c>
      <c r="D713" s="2"/>
      <c r="E713" s="2" t="s">
        <v>52</v>
      </c>
      <c r="F713" s="2" t="s">
        <v>1342</v>
      </c>
      <c r="G713" s="2" t="s">
        <v>108</v>
      </c>
      <c r="H713" s="13">
        <f>25.363+16.306+30.076</f>
      </c>
      <c r="I713" s="13">
        <f>(0.92*25.363+0.52*16.306+0.78*30.076)/$H713</f>
      </c>
      <c r="J713" s="13">
        <f>(5.82*25.363+1.72*16.306+4.86*30.076)/$H713</f>
      </c>
      <c r="K713" s="15">
        <f>31.1*(3.9*25.363+1.67*16.306+4.23*30.076)/$H713</f>
      </c>
      <c r="L713" s="13">
        <f>(0.16*25.363+0.26*16.306+0.24*30.076)/$H713</f>
      </c>
      <c r="M713" s="13"/>
      <c r="N713" s="15"/>
      <c r="O713" s="16"/>
      <c r="P713" s="13"/>
      <c r="Q713" s="13"/>
      <c r="R713" s="17"/>
      <c r="S713" s="13"/>
      <c r="T713" s="17"/>
      <c r="U713" s="13"/>
      <c r="V713" s="16"/>
      <c r="W713" s="13"/>
      <c r="X713" s="13"/>
      <c r="Y713" s="14"/>
      <c r="Z713" s="2"/>
      <c r="AA713" s="13">
        <f>H713*I713/100</f>
      </c>
      <c r="AB713" s="13">
        <f>H713*J713/100</f>
      </c>
      <c r="AC713" s="15">
        <f>H713*K713</f>
      </c>
      <c r="AD713" s="15">
        <f>H713*M713</f>
      </c>
      <c r="AE713" s="13">
        <f>H713*L713/100</f>
      </c>
      <c r="AF713" s="13">
        <f>AA713+AB713+AE713</f>
      </c>
      <c r="AG713" s="13">
        <f>I713+J713+L713</f>
      </c>
      <c r="AH713" s="18">
        <f>$H713*I713</f>
      </c>
      <c r="AI713" s="18">
        <f>$H713*J713</f>
      </c>
      <c r="AJ713" s="18">
        <f>$H713*K713</f>
      </c>
      <c r="AK713" s="18">
        <f>$H713*L713</f>
      </c>
      <c r="AL713" s="18">
        <f>$H713*M713</f>
      </c>
      <c r="AM713" s="14"/>
      <c r="AN713" s="14"/>
      <c r="AO713" s="14"/>
    </row>
    <row x14ac:dyDescent="0.25" r="714" customHeight="1" ht="17.25">
      <c r="A714" s="2" t="s">
        <v>1415</v>
      </c>
      <c r="B714" s="2" t="s">
        <v>1338</v>
      </c>
      <c r="C714" s="2" t="s">
        <v>189</v>
      </c>
      <c r="D714" s="2"/>
      <c r="E714" s="2" t="s">
        <v>52</v>
      </c>
      <c r="F714" s="2" t="s">
        <v>65</v>
      </c>
      <c r="G714" s="2" t="s">
        <v>66</v>
      </c>
      <c r="H714" s="13">
        <f>1.74+8.8+13</f>
      </c>
      <c r="I714" s="13">
        <f>(1.28*1.74+1.5*8.8+1*13)/$H714</f>
      </c>
      <c r="J714" s="15">
        <f>(3.58*1.74+3.5*8.8+4*13)/$H714</f>
      </c>
      <c r="K714" s="17">
        <f>(156*1.74+210*8.8+200*13)/$H714</f>
      </c>
      <c r="L714" s="15">
        <f>(0.36*1.74+0.4*8.8+0.4*13)/$H714</f>
      </c>
      <c r="M714" s="13"/>
      <c r="N714" s="15"/>
      <c r="O714" s="16"/>
      <c r="P714" s="13"/>
      <c r="Q714" s="13"/>
      <c r="R714" s="17"/>
      <c r="S714" s="13"/>
      <c r="T714" s="17"/>
      <c r="U714" s="13"/>
      <c r="V714" s="16"/>
      <c r="W714" s="13"/>
      <c r="X714" s="13"/>
      <c r="Y714" s="14"/>
      <c r="Z714" s="2"/>
      <c r="AA714" s="13">
        <f>H714*I714/100</f>
      </c>
      <c r="AB714" s="13">
        <f>H714*J714/100</f>
      </c>
      <c r="AC714" s="15">
        <f>H714*K714</f>
      </c>
      <c r="AD714" s="15">
        <f>H714*M714</f>
      </c>
      <c r="AE714" s="13">
        <f>H714*L714/100</f>
      </c>
      <c r="AF714" s="13">
        <f>AA714+AB714+AE714</f>
      </c>
      <c r="AG714" s="13">
        <f>I714+J714+L714</f>
      </c>
      <c r="AH714" s="18">
        <f>$H714*I714</f>
      </c>
      <c r="AI714" s="18">
        <f>$H714*J714</f>
      </c>
      <c r="AJ714" s="18">
        <f>$H714*K714</f>
      </c>
      <c r="AK714" s="18">
        <f>$H714*L714</f>
      </c>
      <c r="AL714" s="18">
        <f>$H714*M714</f>
      </c>
      <c r="AM714" s="14"/>
      <c r="AN714" s="14"/>
      <c r="AO714" s="14"/>
    </row>
    <row x14ac:dyDescent="0.25" r="715" customHeight="1" ht="17.25">
      <c r="A715" s="2" t="s">
        <v>1416</v>
      </c>
      <c r="B715" s="2" t="s">
        <v>1338</v>
      </c>
      <c r="C715" s="2" t="s">
        <v>159</v>
      </c>
      <c r="D715" s="2"/>
      <c r="E715" s="2" t="s">
        <v>52</v>
      </c>
      <c r="F715" s="2" t="s">
        <v>1183</v>
      </c>
      <c r="G715" s="2" t="s">
        <v>293</v>
      </c>
      <c r="H715" s="16">
        <f>1.229+4.91+0.37</f>
      </c>
      <c r="I715" s="13">
        <f>(3.44*1.229+2.1*4.91+5.15*0.37)/$H715</f>
      </c>
      <c r="J715" s="13">
        <f>(4.42*1.229+3.13*4.91+2.43*0.37)/$H715</f>
      </c>
      <c r="K715" s="15">
        <f>(159.4*1.229+102.6*4.91+239.9*0.37)/$H715</f>
      </c>
      <c r="L715" s="13">
        <f>(0.8*1.229+1.08*4.91+0.42*0.37)/$H715</f>
      </c>
      <c r="M715" s="13">
        <f>(1.09*1.229+0.91*4.91+1.45*0.37)/$H715</f>
      </c>
      <c r="N715" s="15"/>
      <c r="O715" s="16"/>
      <c r="P715" s="13"/>
      <c r="Q715" s="13"/>
      <c r="R715" s="17"/>
      <c r="S715" s="13"/>
      <c r="T715" s="17"/>
      <c r="U715" s="13"/>
      <c r="V715" s="16"/>
      <c r="W715" s="13"/>
      <c r="X715" s="13"/>
      <c r="Y715" s="14"/>
      <c r="Z715" s="2"/>
      <c r="AA715" s="13">
        <f>H715*I715/100</f>
      </c>
      <c r="AB715" s="13">
        <f>H715*J715/100</f>
      </c>
      <c r="AC715" s="15">
        <f>H715*K715</f>
      </c>
      <c r="AD715" s="15">
        <f>H715*M715</f>
      </c>
      <c r="AE715" s="13">
        <f>H715*L715/100</f>
      </c>
      <c r="AF715" s="13">
        <f>AA715+AB715+AE715</f>
      </c>
      <c r="AG715" s="13">
        <f>I715+J715+L715</f>
      </c>
      <c r="AH715" s="18">
        <f>$H715*I715</f>
      </c>
      <c r="AI715" s="18">
        <f>$H715*J715</f>
      </c>
      <c r="AJ715" s="18">
        <f>$H715*K715</f>
      </c>
      <c r="AK715" s="18">
        <f>$H715*L715</f>
      </c>
      <c r="AL715" s="18">
        <f>$H715*M715</f>
      </c>
      <c r="AM715" s="14"/>
      <c r="AN715" s="14"/>
      <c r="AO715" s="14"/>
    </row>
    <row x14ac:dyDescent="0.25" r="716" customHeight="1" ht="17.25">
      <c r="A716" s="2" t="s">
        <v>1417</v>
      </c>
      <c r="B716" s="2" t="s">
        <v>1338</v>
      </c>
      <c r="C716" s="2" t="s">
        <v>189</v>
      </c>
      <c r="D716" s="2" t="s">
        <v>79</v>
      </c>
      <c r="E716" s="2" t="s">
        <v>52</v>
      </c>
      <c r="F716" s="2" t="s">
        <v>1342</v>
      </c>
      <c r="G716" s="2" t="s">
        <v>108</v>
      </c>
      <c r="H716" s="13">
        <f>2.74+2.9</f>
      </c>
      <c r="I716" s="13">
        <f>(1.26*2.74+1.34*2.9)/$H716</f>
      </c>
      <c r="J716" s="13">
        <f>(0.91*2.74+1.04*2.9)/$H716</f>
      </c>
      <c r="K716" s="15">
        <f>31.1*(1.71*2.74+1.72*2.9)/$H716</f>
      </c>
      <c r="L716" s="13"/>
      <c r="M716" s="13"/>
      <c r="N716" s="15"/>
      <c r="O716" s="16"/>
      <c r="P716" s="13"/>
      <c r="Q716" s="13"/>
      <c r="R716" s="17"/>
      <c r="S716" s="13"/>
      <c r="T716" s="17"/>
      <c r="U716" s="13"/>
      <c r="V716" s="16"/>
      <c r="W716" s="13"/>
      <c r="X716" s="13"/>
      <c r="Y716" s="14"/>
      <c r="Z716" s="2"/>
      <c r="AA716" s="13">
        <f>H716*I716/100</f>
      </c>
      <c r="AB716" s="13">
        <f>H716*J716/100</f>
      </c>
      <c r="AC716" s="15">
        <f>H716*K716</f>
      </c>
      <c r="AD716" s="15">
        <f>H716*M716</f>
      </c>
      <c r="AE716" s="13">
        <f>H716*L716/100</f>
      </c>
      <c r="AF716" s="13">
        <f>AA716+AB716+AE716</f>
      </c>
      <c r="AG716" s="13">
        <f>I716+J716+L716</f>
      </c>
      <c r="AH716" s="18">
        <f>$H716*I716</f>
      </c>
      <c r="AI716" s="18">
        <f>$H716*J716</f>
      </c>
      <c r="AJ716" s="18">
        <f>$H716*K716</f>
      </c>
      <c r="AK716" s="18">
        <f>$H716*L716</f>
      </c>
      <c r="AL716" s="18">
        <f>$H716*M716</f>
      </c>
      <c r="AM716" s="14"/>
      <c r="AN716" s="14"/>
      <c r="AO716" s="14"/>
    </row>
    <row x14ac:dyDescent="0.25" r="717" customHeight="1" ht="17.25">
      <c r="A717" s="2" t="s">
        <v>1418</v>
      </c>
      <c r="B717" s="2" t="s">
        <v>1419</v>
      </c>
      <c r="C717" s="2" t="s">
        <v>50</v>
      </c>
      <c r="D717" s="2"/>
      <c r="E717" s="2" t="s">
        <v>52</v>
      </c>
      <c r="F717" s="2" t="s">
        <v>1420</v>
      </c>
      <c r="G717" s="2" t="s">
        <v>1421</v>
      </c>
      <c r="H717" s="16">
        <v>0.994563</v>
      </c>
      <c r="I717" s="13"/>
      <c r="J717" s="13">
        <v>0.73</v>
      </c>
      <c r="K717" s="13">
        <v>13.48</v>
      </c>
      <c r="L717" s="13">
        <v>0.75</v>
      </c>
      <c r="M717" s="13">
        <v>0.54</v>
      </c>
      <c r="N717" s="15"/>
      <c r="O717" s="16"/>
      <c r="P717" s="13"/>
      <c r="Q717" s="13"/>
      <c r="R717" s="17"/>
      <c r="S717" s="13"/>
      <c r="T717" s="17"/>
      <c r="U717" s="13"/>
      <c r="V717" s="16"/>
      <c r="W717" s="13"/>
      <c r="X717" s="13"/>
      <c r="Y717" s="14"/>
      <c r="Z717" s="2"/>
      <c r="AA717" s="13">
        <f>H717*I717/100</f>
      </c>
      <c r="AB717" s="13">
        <f>H717*J717/100</f>
      </c>
      <c r="AC717" s="15">
        <f>H717*K717</f>
      </c>
      <c r="AD717" s="15">
        <f>H717*M717</f>
      </c>
      <c r="AE717" s="13">
        <f>H717*L717/100</f>
      </c>
      <c r="AF717" s="13">
        <f>AA717+AB717+AE717</f>
      </c>
      <c r="AG717" s="13">
        <f>I717+J717+L717</f>
      </c>
      <c r="AH717" s="18">
        <f>$H717*I717</f>
      </c>
      <c r="AI717" s="18">
        <f>$H717*J717</f>
      </c>
      <c r="AJ717" s="18">
        <f>$H717*K717</f>
      </c>
      <c r="AK717" s="18">
        <f>$H717*L717</f>
      </c>
      <c r="AL717" s="18">
        <f>$H717*M717</f>
      </c>
      <c r="AM717" s="14"/>
      <c r="AN717" s="14"/>
      <c r="AO717" s="14"/>
    </row>
    <row x14ac:dyDescent="0.25" r="718" customHeight="1" ht="17.25">
      <c r="A718" s="2" t="s">
        <v>1422</v>
      </c>
      <c r="B718" s="2" t="s">
        <v>1419</v>
      </c>
      <c r="C718" s="2" t="s">
        <v>56</v>
      </c>
      <c r="D718" s="2"/>
      <c r="E718" s="2" t="s">
        <v>52</v>
      </c>
      <c r="F718" s="2" t="s">
        <v>1423</v>
      </c>
      <c r="G718" s="2" t="s">
        <v>1424</v>
      </c>
      <c r="H718" s="13">
        <v>2.7</v>
      </c>
      <c r="I718" s="13">
        <v>0.85</v>
      </c>
      <c r="J718" s="13">
        <v>1.58</v>
      </c>
      <c r="K718" s="14">
        <v>26</v>
      </c>
      <c r="L718" s="13"/>
      <c r="M718" s="13"/>
      <c r="N718" s="15"/>
      <c r="O718" s="16"/>
      <c r="P718" s="13"/>
      <c r="Q718" s="13"/>
      <c r="R718" s="17"/>
      <c r="S718" s="13"/>
      <c r="T718" s="17"/>
      <c r="U718" s="13"/>
      <c r="V718" s="16"/>
      <c r="W718" s="13"/>
      <c r="X718" s="13"/>
      <c r="Y718" s="14"/>
      <c r="Z718" s="2"/>
      <c r="AA718" s="13">
        <f>H718*I718/100</f>
      </c>
      <c r="AB718" s="13">
        <f>H718*J718/100</f>
      </c>
      <c r="AC718" s="15">
        <f>H718*K718</f>
      </c>
      <c r="AD718" s="15">
        <f>H718*M718</f>
      </c>
      <c r="AE718" s="13">
        <f>H718*L718/100</f>
      </c>
      <c r="AF718" s="13">
        <f>AA718+AB718+AE718</f>
      </c>
      <c r="AG718" s="13">
        <f>I718+J718+L718</f>
      </c>
      <c r="AH718" s="18">
        <f>$H718*I718</f>
      </c>
      <c r="AI718" s="18">
        <f>$H718*J718</f>
      </c>
      <c r="AJ718" s="18">
        <f>$H718*K718</f>
      </c>
      <c r="AK718" s="18">
        <f>$H718*L718</f>
      </c>
      <c r="AL718" s="18">
        <f>$H718*M718</f>
      </c>
      <c r="AM718" s="14"/>
      <c r="AN718" s="14"/>
      <c r="AO718" s="14"/>
    </row>
    <row x14ac:dyDescent="0.25" r="719" customHeight="1" ht="17.25">
      <c r="A719" s="2" t="s">
        <v>1425</v>
      </c>
      <c r="B719" s="2" t="s">
        <v>1419</v>
      </c>
      <c r="C719" s="2" t="s">
        <v>50</v>
      </c>
      <c r="D719" s="2"/>
      <c r="E719" s="2" t="s">
        <v>52</v>
      </c>
      <c r="F719" s="2" t="s">
        <v>1426</v>
      </c>
      <c r="G719" s="2" t="s">
        <v>1427</v>
      </c>
      <c r="H719" s="13">
        <f>4.428+0.009+0.699</f>
      </c>
      <c r="I719" s="13">
        <f>(0.11*4.428+0.05*0.009+0.02*0.699)/$H719</f>
      </c>
      <c r="J719" s="13">
        <f>(2.74*4.428+0.02*0.009+0.11*0.699)/$H719</f>
      </c>
      <c r="K719" s="15">
        <f>(31.21*4.428+10.37*0.009+6.42*0.699)/$H719</f>
      </c>
      <c r="L719" s="13">
        <f>(1.54*4.428+0.24*0.009+0.16*0.699)/$H719</f>
      </c>
      <c r="M719" s="13">
        <f>(2.78*4.428+1.78*0.009+0.98*0.699)/$H719</f>
      </c>
      <c r="N719" s="15"/>
      <c r="O719" s="16"/>
      <c r="P719" s="13"/>
      <c r="Q719" s="13"/>
      <c r="R719" s="17"/>
      <c r="S719" s="13"/>
      <c r="T719" s="17"/>
      <c r="U719" s="13"/>
      <c r="V719" s="16"/>
      <c r="W719" s="13"/>
      <c r="X719" s="13"/>
      <c r="Y719" s="14"/>
      <c r="Z719" s="2"/>
      <c r="AA719" s="13">
        <f>H719*I719/100</f>
      </c>
      <c r="AB719" s="13">
        <f>H719*J719/100</f>
      </c>
      <c r="AC719" s="15">
        <f>H719*K719</f>
      </c>
      <c r="AD719" s="15">
        <f>H719*M719</f>
      </c>
      <c r="AE719" s="13">
        <f>H719*L719/100</f>
      </c>
      <c r="AF719" s="13">
        <f>AA719+AB719+AE719</f>
      </c>
      <c r="AG719" s="13">
        <f>I719+J719+L719</f>
      </c>
      <c r="AH719" s="18">
        <f>$H719*I719</f>
      </c>
      <c r="AI719" s="18">
        <f>$H719*J719</f>
      </c>
      <c r="AJ719" s="18">
        <f>$H719*K719</f>
      </c>
      <c r="AK719" s="18">
        <f>$H719*L719</f>
      </c>
      <c r="AL719" s="18">
        <f>$H719*M719</f>
      </c>
      <c r="AM719" s="14"/>
      <c r="AN719" s="14"/>
      <c r="AO719" s="14"/>
    </row>
    <row x14ac:dyDescent="0.25" r="720" customHeight="1" ht="17.25">
      <c r="A720" s="2" t="s">
        <v>1428</v>
      </c>
      <c r="B720" s="2" t="s">
        <v>1429</v>
      </c>
      <c r="C720" s="2" t="s">
        <v>50</v>
      </c>
      <c r="D720" s="2"/>
      <c r="E720" s="2" t="s">
        <v>52</v>
      </c>
      <c r="F720" s="2" t="s">
        <v>1430</v>
      </c>
      <c r="G720" s="2" t="s">
        <v>1431</v>
      </c>
      <c r="H720" s="13">
        <v>38.4</v>
      </c>
      <c r="I720" s="16">
        <f>19.29/10000</f>
      </c>
      <c r="J720" s="16">
        <f>659/10000</f>
      </c>
      <c r="K720" s="13">
        <v>1.802</v>
      </c>
      <c r="L720" s="13">
        <v>0.6077</v>
      </c>
      <c r="M720" s="13">
        <v>0.28</v>
      </c>
      <c r="N720" s="15"/>
      <c r="O720" s="16"/>
      <c r="P720" s="13"/>
      <c r="Q720" s="13"/>
      <c r="R720" s="17"/>
      <c r="S720" s="13">
        <f>13/10000</f>
      </c>
      <c r="T720" s="17"/>
      <c r="U720" s="13"/>
      <c r="V720" s="16"/>
      <c r="W720" s="13"/>
      <c r="X720" s="13"/>
      <c r="Y720" s="14"/>
      <c r="Z720" s="2"/>
      <c r="AA720" s="13">
        <f>H720*I720/100</f>
      </c>
      <c r="AB720" s="13">
        <f>H720*J720/100</f>
      </c>
      <c r="AC720" s="15">
        <f>H720*K720</f>
      </c>
      <c r="AD720" s="15">
        <f>H720*M720</f>
      </c>
      <c r="AE720" s="13">
        <f>H720*L720/100</f>
      </c>
      <c r="AF720" s="13">
        <f>AA720+AB720+AE720</f>
      </c>
      <c r="AG720" s="13">
        <f>I720+J720+L720</f>
      </c>
      <c r="AH720" s="18">
        <f>$H720*I720</f>
      </c>
      <c r="AI720" s="18">
        <f>$H720*J720</f>
      </c>
      <c r="AJ720" s="18">
        <f>$H720*K720</f>
      </c>
      <c r="AK720" s="18">
        <f>$H720*L720</f>
      </c>
      <c r="AL720" s="18">
        <f>$H720*M720</f>
      </c>
      <c r="AM720" s="14"/>
      <c r="AN720" s="14"/>
      <c r="AO720" s="14"/>
    </row>
    <row x14ac:dyDescent="0.25" r="721" customHeight="1" ht="17.25">
      <c r="A721" s="2" t="s">
        <v>1432</v>
      </c>
      <c r="B721" s="2" t="s">
        <v>1429</v>
      </c>
      <c r="C721" s="2" t="s">
        <v>50</v>
      </c>
      <c r="D721" s="2" t="s">
        <v>1083</v>
      </c>
      <c r="E721" s="2" t="s">
        <v>52</v>
      </c>
      <c r="F721" s="2" t="s">
        <v>1433</v>
      </c>
      <c r="G721" s="2" t="s">
        <v>108</v>
      </c>
      <c r="H721" s="13">
        <f>1.03+1.54</f>
      </c>
      <c r="I721" s="13"/>
      <c r="J721" s="15">
        <f>(0.4*1.03+0.9*1.54)/$H721</f>
      </c>
      <c r="K721" s="15">
        <f>(23*1.03+34*1.54)/$H721</f>
      </c>
      <c r="L721" s="15">
        <f>(7.2*1.03+8.1*1.54)/$H721</f>
      </c>
      <c r="M721" s="15">
        <f>(5*1.03+6.4*1.54)/$H721</f>
      </c>
      <c r="N721" s="15"/>
      <c r="O721" s="16"/>
      <c r="P721" s="13"/>
      <c r="Q721" s="13"/>
      <c r="R721" s="17"/>
      <c r="S721" s="13"/>
      <c r="T721" s="17"/>
      <c r="U721" s="13"/>
      <c r="V721" s="16"/>
      <c r="W721" s="13"/>
      <c r="X721" s="13"/>
      <c r="Y721" s="14"/>
      <c r="Z721" s="2"/>
      <c r="AA721" s="13">
        <f>H721*I721/100</f>
      </c>
      <c r="AB721" s="13">
        <f>H721*J721/100</f>
      </c>
      <c r="AC721" s="15">
        <f>H721*K721</f>
      </c>
      <c r="AD721" s="15">
        <f>H721*M721</f>
      </c>
      <c r="AE721" s="13">
        <f>H721*L721/100</f>
      </c>
      <c r="AF721" s="13">
        <f>AA721+AB721+AE721</f>
      </c>
      <c r="AG721" s="13">
        <f>I721+J721+L721</f>
      </c>
      <c r="AH721" s="18">
        <f>$H721*I721</f>
      </c>
      <c r="AI721" s="18">
        <f>$H721*J721</f>
      </c>
      <c r="AJ721" s="18">
        <f>$H721*K721</f>
      </c>
      <c r="AK721" s="18">
        <f>$H721*L721</f>
      </c>
      <c r="AL721" s="18">
        <f>$H721*M721</f>
      </c>
      <c r="AM721" s="14"/>
      <c r="AN721" s="14"/>
      <c r="AO721" s="14"/>
    </row>
    <row x14ac:dyDescent="0.25" r="722" customHeight="1" ht="17.25">
      <c r="A722" s="2" t="s">
        <v>1434</v>
      </c>
      <c r="B722" s="2" t="s">
        <v>1429</v>
      </c>
      <c r="C722" s="2" t="s">
        <v>50</v>
      </c>
      <c r="D722" s="2" t="s">
        <v>1083</v>
      </c>
      <c r="E722" s="2" t="s">
        <v>52</v>
      </c>
      <c r="F722" s="2" t="s">
        <v>1433</v>
      </c>
      <c r="G722" s="2" t="s">
        <v>108</v>
      </c>
      <c r="H722" s="13">
        <v>0.23</v>
      </c>
      <c r="I722" s="13"/>
      <c r="J722" s="13">
        <v>3.6</v>
      </c>
      <c r="K722" s="14">
        <v>56</v>
      </c>
      <c r="L722" s="13">
        <v>7.3</v>
      </c>
      <c r="M722" s="13">
        <v>3.6</v>
      </c>
      <c r="N722" s="15"/>
      <c r="O722" s="16"/>
      <c r="P722" s="13"/>
      <c r="Q722" s="13"/>
      <c r="R722" s="17"/>
      <c r="S722" s="13"/>
      <c r="T722" s="17"/>
      <c r="U722" s="13"/>
      <c r="V722" s="16"/>
      <c r="W722" s="13"/>
      <c r="X722" s="13"/>
      <c r="Y722" s="14"/>
      <c r="Z722" s="2"/>
      <c r="AA722" s="13">
        <f>H722*I722/100</f>
      </c>
      <c r="AB722" s="13">
        <f>H722*J722/100</f>
      </c>
      <c r="AC722" s="15">
        <f>H722*K722</f>
      </c>
      <c r="AD722" s="15">
        <f>H722*M722</f>
      </c>
      <c r="AE722" s="13">
        <f>H722*L722/100</f>
      </c>
      <c r="AF722" s="13">
        <f>AA722+AB722+AE722</f>
      </c>
      <c r="AG722" s="13">
        <f>I722+J722+L722</f>
      </c>
      <c r="AH722" s="18">
        <f>$H722*I722</f>
      </c>
      <c r="AI722" s="18">
        <f>$H722*J722</f>
      </c>
      <c r="AJ722" s="18">
        <f>$H722*K722</f>
      </c>
      <c r="AK722" s="18">
        <f>$H722*L722</f>
      </c>
      <c r="AL722" s="18">
        <f>$H722*M722</f>
      </c>
      <c r="AM722" s="14"/>
      <c r="AN722" s="14"/>
      <c r="AO722" s="14"/>
    </row>
    <row x14ac:dyDescent="0.25" r="723" customHeight="1" ht="17.25">
      <c r="A723" s="2" t="s">
        <v>1435</v>
      </c>
      <c r="B723" s="2" t="s">
        <v>1436</v>
      </c>
      <c r="C723" s="2" t="s">
        <v>40</v>
      </c>
      <c r="D723" s="2" t="s">
        <v>41</v>
      </c>
      <c r="E723" s="2" t="s">
        <v>52</v>
      </c>
      <c r="F723" s="2" t="s">
        <v>1437</v>
      </c>
      <c r="G723" s="2" t="s">
        <v>1230</v>
      </c>
      <c r="H723" s="13">
        <v>21.2</v>
      </c>
      <c r="I723" s="13">
        <v>1.54</v>
      </c>
      <c r="J723" s="13">
        <v>5.88</v>
      </c>
      <c r="K723" s="14"/>
      <c r="L723" s="13"/>
      <c r="M723" s="13"/>
      <c r="N723" s="15"/>
      <c r="O723" s="16"/>
      <c r="P723" s="13"/>
      <c r="Q723" s="13"/>
      <c r="R723" s="17"/>
      <c r="S723" s="13"/>
      <c r="T723" s="17"/>
      <c r="U723" s="13"/>
      <c r="V723" s="16"/>
      <c r="W723" s="13"/>
      <c r="X723" s="13"/>
      <c r="Y723" s="14"/>
      <c r="Z723" s="2"/>
      <c r="AA723" s="13">
        <f>H723*I723/100</f>
      </c>
      <c r="AB723" s="13">
        <f>H723*J723/100</f>
      </c>
      <c r="AC723" s="15">
        <f>H723*K723</f>
      </c>
      <c r="AD723" s="15">
        <f>H723*M723</f>
      </c>
      <c r="AE723" s="13">
        <f>H723*L723/100</f>
      </c>
      <c r="AF723" s="13">
        <f>AA723+AB723+AE723</f>
      </c>
      <c r="AG723" s="13">
        <f>I723+J723+L723</f>
      </c>
      <c r="AH723" s="18">
        <f>$H723*I723</f>
      </c>
      <c r="AI723" s="18">
        <f>$H723*J723</f>
      </c>
      <c r="AJ723" s="18">
        <f>$H723*K723</f>
      </c>
      <c r="AK723" s="18">
        <f>$H723*L723</f>
      </c>
      <c r="AL723" s="18">
        <f>$H723*M723</f>
      </c>
      <c r="AM723" s="14"/>
      <c r="AN723" s="14"/>
      <c r="AO723" s="14"/>
    </row>
    <row x14ac:dyDescent="0.25" r="724" customHeight="1" ht="17.25">
      <c r="A724" s="2" t="s">
        <v>1438</v>
      </c>
      <c r="B724" s="2" t="s">
        <v>1439</v>
      </c>
      <c r="C724" s="2" t="s">
        <v>50</v>
      </c>
      <c r="D724" s="2"/>
      <c r="E724" s="12" t="s">
        <v>42</v>
      </c>
      <c r="F724" s="2" t="s">
        <v>1440</v>
      </c>
      <c r="G724" s="2" t="s">
        <v>877</v>
      </c>
      <c r="H724" s="14">
        <v>13</v>
      </c>
      <c r="I724" s="13">
        <v>1.8</v>
      </c>
      <c r="J724" s="13">
        <v>5.6</v>
      </c>
      <c r="K724" s="14">
        <v>65</v>
      </c>
      <c r="L724" s="13">
        <v>0.2</v>
      </c>
      <c r="M724" s="13"/>
      <c r="N724" s="15"/>
      <c r="O724" s="16"/>
      <c r="P724" s="13"/>
      <c r="Q724" s="13"/>
      <c r="R724" s="17"/>
      <c r="S724" s="13"/>
      <c r="T724" s="17"/>
      <c r="U724" s="13"/>
      <c r="V724" s="16"/>
      <c r="W724" s="13"/>
      <c r="X724" s="13"/>
      <c r="Y724" s="14"/>
      <c r="Z724" s="2"/>
      <c r="AA724" s="13">
        <f>H724*I724/100</f>
      </c>
      <c r="AB724" s="13">
        <f>H724*J724/100</f>
      </c>
      <c r="AC724" s="15">
        <f>H724*K724</f>
      </c>
      <c r="AD724" s="15">
        <f>H724*M724</f>
      </c>
      <c r="AE724" s="13">
        <f>H724*L724/100</f>
      </c>
      <c r="AF724" s="22">
        <f>AA724+AB724+AE724</f>
      </c>
      <c r="AG724" s="13">
        <f>I724+J724+L724</f>
      </c>
      <c r="AH724" s="18">
        <f>$H724*I724</f>
      </c>
      <c r="AI724" s="18">
        <f>$H724*J724</f>
      </c>
      <c r="AJ724" s="18">
        <f>$H724*K724</f>
      </c>
      <c r="AK724" s="18">
        <f>$H724*L724</f>
      </c>
      <c r="AL724" s="18">
        <f>$H724*M724</f>
      </c>
      <c r="AM724" s="14"/>
      <c r="AN724" s="14"/>
      <c r="AO724" s="14"/>
    </row>
    <row x14ac:dyDescent="0.25" r="725" customHeight="1" ht="17.25">
      <c r="A725" s="2" t="s">
        <v>1441</v>
      </c>
      <c r="B725" s="2" t="s">
        <v>1439</v>
      </c>
      <c r="C725" s="2" t="s">
        <v>50</v>
      </c>
      <c r="D725" s="2"/>
      <c r="E725" s="2" t="s">
        <v>52</v>
      </c>
      <c r="F725" s="2" t="s">
        <v>1442</v>
      </c>
      <c r="G725" s="2" t="s">
        <v>1443</v>
      </c>
      <c r="H725" s="13">
        <f>4.37+4.04</f>
      </c>
      <c r="I725" s="13">
        <f>(2.94*4.37+2.5*4.04)/$H725</f>
      </c>
      <c r="J725" s="13">
        <f>(3.4*4.37+1.8*4.04)/$H725</f>
      </c>
      <c r="K725" s="15">
        <f>(54.72*4.37+51*4.04)/$H725</f>
      </c>
      <c r="L725" s="13">
        <f>(0.34*4.37+0.35*4.04)/$H725</f>
      </c>
      <c r="M725" s="13">
        <f>(0.82*4.37+0.78*4.04)/$H725</f>
      </c>
      <c r="N725" s="15"/>
      <c r="O725" s="16"/>
      <c r="P725" s="13"/>
      <c r="Q725" s="13"/>
      <c r="R725" s="17"/>
      <c r="S725" s="13"/>
      <c r="T725" s="17"/>
      <c r="U725" s="13"/>
      <c r="V725" s="16"/>
      <c r="W725" s="13"/>
      <c r="X725" s="13"/>
      <c r="Y725" s="14"/>
      <c r="Z725" s="2"/>
      <c r="AA725" s="13">
        <f>H725*I725/100</f>
      </c>
      <c r="AB725" s="13">
        <f>H725*J725/100</f>
      </c>
      <c r="AC725" s="15">
        <f>H725*K725</f>
      </c>
      <c r="AD725" s="15">
        <f>H725*M725</f>
      </c>
      <c r="AE725" s="13">
        <f>H725*L725/100</f>
      </c>
      <c r="AF725" s="13">
        <f>AA725+AB725+AE725</f>
      </c>
      <c r="AG725" s="13">
        <f>I725+J725+L725</f>
      </c>
      <c r="AH725" s="18">
        <f>$H725*I725</f>
      </c>
      <c r="AI725" s="18">
        <f>$H725*J725</f>
      </c>
      <c r="AJ725" s="18">
        <f>$H725*K725</f>
      </c>
      <c r="AK725" s="18">
        <f>$H725*L725</f>
      </c>
      <c r="AL725" s="18">
        <f>$H725*M725</f>
      </c>
      <c r="AM725" s="14"/>
      <c r="AN725" s="14"/>
      <c r="AO725" s="14"/>
    </row>
    <row x14ac:dyDescent="0.25" r="726" customHeight="1" ht="17.25">
      <c r="A726" s="2" t="s">
        <v>1444</v>
      </c>
      <c r="B726" s="2" t="s">
        <v>1439</v>
      </c>
      <c r="C726" s="2" t="s">
        <v>50</v>
      </c>
      <c r="D726" s="2"/>
      <c r="E726" s="2" t="s">
        <v>52</v>
      </c>
      <c r="F726" s="2" t="s">
        <v>1445</v>
      </c>
      <c r="G726" s="2" t="s">
        <v>66</v>
      </c>
      <c r="H726" s="13">
        <f>10.401+44.867+24.701+23.545+67.313+22.496</f>
      </c>
      <c r="I726" s="15">
        <f>(0.3*10.401+0.3*44.867+0.4*24.701+1.9*23.545+1.3*67.313+0.9*22.496)/$H726</f>
      </c>
      <c r="J726" s="15">
        <f>(1*10.401+1*44.867+1.1*24.701+7.5*23.545+5.5*67.313+4.5*22.496)/$H726</f>
      </c>
      <c r="K726" s="17">
        <f>(46*10.401+46*44.867+45*24.701+68*23.545+58*67.313+51*22.496)/$H726</f>
      </c>
      <c r="L726" s="15">
        <f>(4.8*10.401+2.5*44.867+1.8*24.701+0.3*23.545+0.3*67.313+0.3*22.496)/$H726</f>
      </c>
      <c r="M726" s="13"/>
      <c r="N726" s="15"/>
      <c r="O726" s="16"/>
      <c r="P726" s="13"/>
      <c r="Q726" s="13"/>
      <c r="R726" s="17"/>
      <c r="S726" s="13"/>
      <c r="T726" s="17"/>
      <c r="U726" s="13"/>
      <c r="V726" s="16"/>
      <c r="W726" s="13"/>
      <c r="X726" s="13"/>
      <c r="Y726" s="14"/>
      <c r="Z726" s="2"/>
      <c r="AA726" s="13">
        <f>H726*I726/100</f>
      </c>
      <c r="AB726" s="13">
        <f>H726*J726/100</f>
      </c>
      <c r="AC726" s="15">
        <f>H726*K726</f>
      </c>
      <c r="AD726" s="15">
        <f>H726*M726</f>
      </c>
      <c r="AE726" s="13">
        <f>H726*L726/100</f>
      </c>
      <c r="AF726" s="13">
        <f>AA726+AB726+AE726</f>
      </c>
      <c r="AG726" s="13">
        <f>I726+J726+L726</f>
      </c>
      <c r="AH726" s="18">
        <f>$H726*I726</f>
      </c>
      <c r="AI726" s="18">
        <f>$H726*J726</f>
      </c>
      <c r="AJ726" s="18">
        <f>$H726*K726</f>
      </c>
      <c r="AK726" s="18">
        <f>$H726*L726</f>
      </c>
      <c r="AL726" s="18">
        <f>$H726*M726</f>
      </c>
      <c r="AM726" s="14"/>
      <c r="AN726" s="14"/>
      <c r="AO726" s="14"/>
    </row>
    <row x14ac:dyDescent="0.25" r="727" customHeight="1" ht="17.25">
      <c r="A727" s="2" t="s">
        <v>1446</v>
      </c>
      <c r="B727" s="2" t="s">
        <v>1447</v>
      </c>
      <c r="C727" s="2" t="s">
        <v>56</v>
      </c>
      <c r="D727" s="2" t="s">
        <v>75</v>
      </c>
      <c r="E727" s="12" t="s">
        <v>42</v>
      </c>
      <c r="F727" s="2" t="s">
        <v>43</v>
      </c>
      <c r="G727" s="2" t="s">
        <v>1448</v>
      </c>
      <c r="H727" s="14">
        <v>20</v>
      </c>
      <c r="I727" s="13">
        <v>1.5</v>
      </c>
      <c r="J727" s="14">
        <v>2</v>
      </c>
      <c r="K727" s="14">
        <v>30</v>
      </c>
      <c r="L727" s="14">
        <v>1</v>
      </c>
      <c r="M727" s="14">
        <v>1</v>
      </c>
      <c r="N727" s="15"/>
      <c r="O727" s="16"/>
      <c r="P727" s="13"/>
      <c r="Q727" s="13"/>
      <c r="R727" s="17"/>
      <c r="S727" s="13"/>
      <c r="T727" s="17"/>
      <c r="U727" s="13"/>
      <c r="V727" s="16"/>
      <c r="W727" s="13"/>
      <c r="X727" s="13"/>
      <c r="Y727" s="14"/>
      <c r="Z727" s="2"/>
      <c r="AA727" s="13">
        <f>H727*I727/100</f>
      </c>
      <c r="AB727" s="13">
        <f>H727*J727/100</f>
      </c>
      <c r="AC727" s="15">
        <f>H727*K727</f>
      </c>
      <c r="AD727" s="15">
        <f>H727*M727</f>
      </c>
      <c r="AE727" s="13">
        <f>H727*L727/100</f>
      </c>
      <c r="AF727" s="13">
        <f>AA727+AB727+AE727</f>
      </c>
      <c r="AG727" s="13">
        <f>I727+J727+L727</f>
      </c>
      <c r="AH727" s="18">
        <f>$H727*I727</f>
      </c>
      <c r="AI727" s="18">
        <f>$H727*J727</f>
      </c>
      <c r="AJ727" s="18">
        <f>$H727*K727</f>
      </c>
      <c r="AK727" s="18">
        <f>$H727*L727</f>
      </c>
      <c r="AL727" s="18">
        <f>$H727*M727</f>
      </c>
      <c r="AM727" s="14"/>
      <c r="AN727" s="14"/>
      <c r="AO727" s="14"/>
    </row>
    <row x14ac:dyDescent="0.25" r="728" customHeight="1" ht="17.25">
      <c r="A728" s="2" t="s">
        <v>1449</v>
      </c>
      <c r="B728" s="2" t="s">
        <v>1447</v>
      </c>
      <c r="C728" s="2" t="s">
        <v>56</v>
      </c>
      <c r="D728" s="2" t="s">
        <v>75</v>
      </c>
      <c r="E728" s="12" t="s">
        <v>42</v>
      </c>
      <c r="F728" s="2" t="s">
        <v>43</v>
      </c>
      <c r="G728" s="2" t="s">
        <v>1450</v>
      </c>
      <c r="H728" s="13">
        <v>9.3</v>
      </c>
      <c r="I728" s="13">
        <v>1.4</v>
      </c>
      <c r="J728" s="13">
        <v>2.3</v>
      </c>
      <c r="K728" s="14">
        <v>36</v>
      </c>
      <c r="L728" s="13"/>
      <c r="M728" s="14">
        <v>3</v>
      </c>
      <c r="N728" s="15"/>
      <c r="O728" s="16"/>
      <c r="P728" s="13"/>
      <c r="Q728" s="13"/>
      <c r="R728" s="17"/>
      <c r="S728" s="13"/>
      <c r="T728" s="17"/>
      <c r="U728" s="13"/>
      <c r="V728" s="16"/>
      <c r="W728" s="13"/>
      <c r="X728" s="13"/>
      <c r="Y728" s="14"/>
      <c r="Z728" s="2"/>
      <c r="AA728" s="13">
        <f>H728*I728/100</f>
      </c>
      <c r="AB728" s="13">
        <f>H728*J728/100</f>
      </c>
      <c r="AC728" s="15">
        <f>H728*K728</f>
      </c>
      <c r="AD728" s="15">
        <f>H728*M728</f>
      </c>
      <c r="AE728" s="13">
        <f>H728*L728/100</f>
      </c>
      <c r="AF728" s="13">
        <f>AA728+AB728+AE728</f>
      </c>
      <c r="AG728" s="13">
        <f>I728+J728+L728</f>
      </c>
      <c r="AH728" s="18">
        <f>$H728*I728</f>
      </c>
      <c r="AI728" s="18">
        <f>$H728*J728</f>
      </c>
      <c r="AJ728" s="18">
        <f>$H728*K728</f>
      </c>
      <c r="AK728" s="18">
        <f>$H728*L728</f>
      </c>
      <c r="AL728" s="18">
        <f>$H728*M728</f>
      </c>
      <c r="AM728" s="14"/>
      <c r="AN728" s="14"/>
      <c r="AO728" s="14"/>
    </row>
    <row x14ac:dyDescent="0.25" r="729" customHeight="1" ht="17.25">
      <c r="A729" s="2" t="s">
        <v>1451</v>
      </c>
      <c r="B729" s="2" t="s">
        <v>1452</v>
      </c>
      <c r="C729" s="2" t="s">
        <v>50</v>
      </c>
      <c r="D729" s="2"/>
      <c r="E729" s="12" t="s">
        <v>42</v>
      </c>
      <c r="F729" s="2" t="s">
        <v>43</v>
      </c>
      <c r="G729" s="2" t="s">
        <v>1453</v>
      </c>
      <c r="H729" s="14">
        <v>46</v>
      </c>
      <c r="I729" s="13"/>
      <c r="J729" s="13">
        <v>0.47</v>
      </c>
      <c r="K729" s="14"/>
      <c r="L729" s="13">
        <v>1.82</v>
      </c>
      <c r="M729" s="13"/>
      <c r="N729" s="15"/>
      <c r="O729" s="16"/>
      <c r="P729" s="13"/>
      <c r="Q729" s="13"/>
      <c r="R729" s="17"/>
      <c r="S729" s="13"/>
      <c r="T729" s="17"/>
      <c r="U729" s="13"/>
      <c r="V729" s="16"/>
      <c r="W729" s="13"/>
      <c r="X729" s="13"/>
      <c r="Y729" s="14"/>
      <c r="Z729" s="2"/>
      <c r="AA729" s="13">
        <f>H729*I729/100</f>
      </c>
      <c r="AB729" s="13">
        <f>H729*J729/100</f>
      </c>
      <c r="AC729" s="15">
        <f>H729*K729</f>
      </c>
      <c r="AD729" s="15">
        <f>H729*M729</f>
      </c>
      <c r="AE729" s="13">
        <f>H729*L729/100</f>
      </c>
      <c r="AF729" s="13">
        <f>AA729+AB729+AE729</f>
      </c>
      <c r="AG729" s="13">
        <f>I729+J729+L729</f>
      </c>
      <c r="AH729" s="18">
        <f>$H729*I729</f>
      </c>
      <c r="AI729" s="18">
        <f>$H729*J729</f>
      </c>
      <c r="AJ729" s="18">
        <f>$H729*K729</f>
      </c>
      <c r="AK729" s="18">
        <f>$H729*L729</f>
      </c>
      <c r="AL729" s="18">
        <f>$H729*M729</f>
      </c>
      <c r="AM729" s="14"/>
      <c r="AN729" s="14"/>
      <c r="AO729" s="14"/>
    </row>
    <row x14ac:dyDescent="0.25" r="730" customHeight="1" ht="17.25">
      <c r="A730" s="2" t="s">
        <v>1454</v>
      </c>
      <c r="B730" s="2" t="s">
        <v>1452</v>
      </c>
      <c r="C730" s="2" t="s">
        <v>50</v>
      </c>
      <c r="D730" s="2"/>
      <c r="E730" s="12" t="s">
        <v>42</v>
      </c>
      <c r="F730" s="2" t="s">
        <v>43</v>
      </c>
      <c r="G730" s="2" t="s">
        <v>1453</v>
      </c>
      <c r="H730" s="14">
        <v>10</v>
      </c>
      <c r="I730" s="13"/>
      <c r="J730" s="13">
        <v>5.5</v>
      </c>
      <c r="K730" s="14"/>
      <c r="L730" s="13">
        <v>4.4</v>
      </c>
      <c r="M730" s="13">
        <v>2.2</v>
      </c>
      <c r="N730" s="15"/>
      <c r="O730" s="16"/>
      <c r="P730" s="13"/>
      <c r="Q730" s="13"/>
      <c r="R730" s="17"/>
      <c r="S730" s="13"/>
      <c r="T730" s="17"/>
      <c r="U730" s="13"/>
      <c r="V730" s="16"/>
      <c r="W730" s="13"/>
      <c r="X730" s="13"/>
      <c r="Y730" s="14"/>
      <c r="Z730" s="2"/>
      <c r="AA730" s="13">
        <f>H730*I730/100</f>
      </c>
      <c r="AB730" s="13">
        <f>H730*J730/100</f>
      </c>
      <c r="AC730" s="15">
        <f>H730*K730</f>
      </c>
      <c r="AD730" s="15">
        <f>H730*M730</f>
      </c>
      <c r="AE730" s="13">
        <f>H730*L730/100</f>
      </c>
      <c r="AF730" s="13">
        <f>AA730+AB730+AE730</f>
      </c>
      <c r="AG730" s="13">
        <f>I730+J730+L730</f>
      </c>
      <c r="AH730" s="18">
        <f>$H730*I730</f>
      </c>
      <c r="AI730" s="18">
        <f>$H730*J730</f>
      </c>
      <c r="AJ730" s="18">
        <f>$H730*K730</f>
      </c>
      <c r="AK730" s="18">
        <f>$H730*L730</f>
      </c>
      <c r="AL730" s="18">
        <f>$H730*M730</f>
      </c>
      <c r="AM730" s="14"/>
      <c r="AN730" s="14"/>
      <c r="AO730" s="14"/>
    </row>
    <row x14ac:dyDescent="0.25" r="731" customHeight="1" ht="17.25">
      <c r="A731" s="2" t="s">
        <v>1455</v>
      </c>
      <c r="B731" s="2" t="s">
        <v>1452</v>
      </c>
      <c r="C731" s="2" t="s">
        <v>50</v>
      </c>
      <c r="D731" s="2"/>
      <c r="E731" s="12" t="s">
        <v>42</v>
      </c>
      <c r="F731" s="2" t="s">
        <v>43</v>
      </c>
      <c r="G731" s="2" t="s">
        <v>1453</v>
      </c>
      <c r="H731" s="13">
        <v>1.3</v>
      </c>
      <c r="I731" s="13">
        <v>0.67</v>
      </c>
      <c r="J731" s="13">
        <v>4.66</v>
      </c>
      <c r="K731" s="14"/>
      <c r="L731" s="13">
        <v>2.63</v>
      </c>
      <c r="M731" s="13">
        <v>1.5</v>
      </c>
      <c r="N731" s="15"/>
      <c r="O731" s="16"/>
      <c r="P731" s="13"/>
      <c r="Q731" s="13"/>
      <c r="R731" s="17"/>
      <c r="S731" s="13"/>
      <c r="T731" s="17"/>
      <c r="U731" s="13"/>
      <c r="V731" s="16"/>
      <c r="W731" s="13"/>
      <c r="X731" s="13"/>
      <c r="Y731" s="14"/>
      <c r="Z731" s="2"/>
      <c r="AA731" s="13">
        <f>H731*I731/100</f>
      </c>
      <c r="AB731" s="13">
        <f>H731*J731/100</f>
      </c>
      <c r="AC731" s="15">
        <f>H731*K731</f>
      </c>
      <c r="AD731" s="15">
        <f>H731*M731</f>
      </c>
      <c r="AE731" s="13">
        <f>H731*L731/100</f>
      </c>
      <c r="AF731" s="13">
        <f>AA731+AB731+AE731</f>
      </c>
      <c r="AG731" s="13">
        <f>I731+J731+L731</f>
      </c>
      <c r="AH731" s="18">
        <f>$H731*I731</f>
      </c>
      <c r="AI731" s="18">
        <f>$H731*J731</f>
      </c>
      <c r="AJ731" s="18">
        <f>$H731*K731</f>
      </c>
      <c r="AK731" s="18">
        <f>$H731*L731</f>
      </c>
      <c r="AL731" s="18">
        <f>$H731*M731</f>
      </c>
      <c r="AM731" s="14"/>
      <c r="AN731" s="14"/>
      <c r="AO731" s="14"/>
    </row>
    <row x14ac:dyDescent="0.25" r="732" customHeight="1" ht="17.25">
      <c r="A732" s="2" t="s">
        <v>1456</v>
      </c>
      <c r="B732" s="2" t="s">
        <v>1452</v>
      </c>
      <c r="C732" s="2" t="s">
        <v>50</v>
      </c>
      <c r="D732" s="2"/>
      <c r="E732" s="12" t="s">
        <v>42</v>
      </c>
      <c r="F732" s="2" t="s">
        <v>43</v>
      </c>
      <c r="G732" s="2" t="s">
        <v>1453</v>
      </c>
      <c r="H732" s="13">
        <v>3.5</v>
      </c>
      <c r="I732" s="13"/>
      <c r="J732" s="13">
        <v>5.1</v>
      </c>
      <c r="K732" s="14"/>
      <c r="L732" s="14">
        <v>3</v>
      </c>
      <c r="M732" s="13">
        <v>4.5</v>
      </c>
      <c r="N732" s="15"/>
      <c r="O732" s="16"/>
      <c r="P732" s="13"/>
      <c r="Q732" s="13"/>
      <c r="R732" s="17"/>
      <c r="S732" s="13"/>
      <c r="T732" s="17"/>
      <c r="U732" s="13"/>
      <c r="V732" s="16"/>
      <c r="W732" s="13"/>
      <c r="X732" s="13"/>
      <c r="Y732" s="14"/>
      <c r="Z732" s="2"/>
      <c r="AA732" s="13">
        <f>H732*I732/100</f>
      </c>
      <c r="AB732" s="13">
        <f>H732*J732/100</f>
      </c>
      <c r="AC732" s="15">
        <f>H732*K732</f>
      </c>
      <c r="AD732" s="15">
        <f>H732*M732</f>
      </c>
      <c r="AE732" s="13">
        <f>H732*L732/100</f>
      </c>
      <c r="AF732" s="13">
        <f>AA732+AB732+AE732</f>
      </c>
      <c r="AG732" s="13">
        <f>I732+J732+L732</f>
      </c>
      <c r="AH732" s="18">
        <f>$H732*I732</f>
      </c>
      <c r="AI732" s="18">
        <f>$H732*J732</f>
      </c>
      <c r="AJ732" s="18">
        <f>$H732*K732</f>
      </c>
      <c r="AK732" s="18">
        <f>$H732*L732</f>
      </c>
      <c r="AL732" s="18">
        <f>$H732*M732</f>
      </c>
      <c r="AM732" s="14"/>
      <c r="AN732" s="14"/>
      <c r="AO732" s="14"/>
    </row>
    <row x14ac:dyDescent="0.25" r="733" customHeight="1" ht="17.25">
      <c r="A733" s="2" t="s">
        <v>1457</v>
      </c>
      <c r="B733" s="2" t="s">
        <v>1452</v>
      </c>
      <c r="C733" s="2" t="s">
        <v>338</v>
      </c>
      <c r="D733" s="2"/>
      <c r="E733" s="2" t="s">
        <v>52</v>
      </c>
      <c r="F733" s="2" t="s">
        <v>1458</v>
      </c>
      <c r="G733" s="2" t="s">
        <v>1459</v>
      </c>
      <c r="H733" s="13">
        <f>21.931+5.102</f>
      </c>
      <c r="I733" s="13">
        <f>(((1.5*21.931+1.06*5.102)/(21.931+5.102))/1.87)*0.6</f>
      </c>
      <c r="J733" s="13">
        <f>(((1.5*21.931+1.06*5.102)/(21.931+5.102))/1.87)*0.9</f>
      </c>
      <c r="K733" s="15">
        <f>(((1.5*21.931+1.06*5.102)/(21.931+5.102))/1.87)*11.7</f>
      </c>
      <c r="L733" s="13"/>
      <c r="M733" s="13">
        <f>(((1.5*21.931+1.06*5.102)/(21.931+5.102))/1.87)*2.3</f>
      </c>
      <c r="N733" s="15"/>
      <c r="O733" s="16"/>
      <c r="P733" s="13"/>
      <c r="Q733" s="13"/>
      <c r="R733" s="17"/>
      <c r="S733" s="13"/>
      <c r="T733" s="17"/>
      <c r="U733" s="13"/>
      <c r="V733" s="16"/>
      <c r="W733" s="13"/>
      <c r="X733" s="13"/>
      <c r="Y733" s="14"/>
      <c r="Z733" s="2"/>
      <c r="AA733" s="13">
        <f>H733*I733/100</f>
      </c>
      <c r="AB733" s="13">
        <f>H733*J733/100</f>
      </c>
      <c r="AC733" s="15">
        <f>H733*K733</f>
      </c>
      <c r="AD733" s="15">
        <f>H733*M733</f>
      </c>
      <c r="AE733" s="13">
        <f>H733*L733/100</f>
      </c>
      <c r="AF733" s="13">
        <f>AA733+AB733+AE733</f>
      </c>
      <c r="AG733" s="13">
        <f>I733+J733+L733</f>
      </c>
      <c r="AH733" s="18">
        <f>$H733*I733</f>
      </c>
      <c r="AI733" s="18">
        <f>$H733*J733</f>
      </c>
      <c r="AJ733" s="18">
        <f>$H733*K733</f>
      </c>
      <c r="AK733" s="18">
        <f>$H733*L733</f>
      </c>
      <c r="AL733" s="18">
        <f>$H733*M733</f>
      </c>
      <c r="AM733" s="14"/>
      <c r="AN733" s="14"/>
      <c r="AO733" s="14"/>
    </row>
    <row x14ac:dyDescent="0.25" r="734" customHeight="1" ht="17.25">
      <c r="A734" s="2" t="s">
        <v>1460</v>
      </c>
      <c r="B734" s="2" t="s">
        <v>1452</v>
      </c>
      <c r="C734" s="2" t="s">
        <v>50</v>
      </c>
      <c r="D734" s="2"/>
      <c r="E734" s="12" t="s">
        <v>42</v>
      </c>
      <c r="F734" s="2" t="s">
        <v>43</v>
      </c>
      <c r="G734" s="2" t="s">
        <v>1453</v>
      </c>
      <c r="H734" s="14">
        <v>10</v>
      </c>
      <c r="I734" s="13"/>
      <c r="J734" s="14">
        <v>5</v>
      </c>
      <c r="K734" s="14"/>
      <c r="L734" s="14">
        <v>3</v>
      </c>
      <c r="M734" s="13"/>
      <c r="N734" s="15"/>
      <c r="O734" s="16"/>
      <c r="P734" s="13"/>
      <c r="Q734" s="13"/>
      <c r="R734" s="17"/>
      <c r="S734" s="13"/>
      <c r="T734" s="17"/>
      <c r="U734" s="13"/>
      <c r="V734" s="16"/>
      <c r="W734" s="13"/>
      <c r="X734" s="13"/>
      <c r="Y734" s="14"/>
      <c r="Z734" s="2"/>
      <c r="AA734" s="13">
        <f>H734*I734/100</f>
      </c>
      <c r="AB734" s="13">
        <f>H734*J734/100</f>
      </c>
      <c r="AC734" s="15">
        <f>H734*K734</f>
      </c>
      <c r="AD734" s="15">
        <f>H734*M734</f>
      </c>
      <c r="AE734" s="13">
        <f>H734*L734/100</f>
      </c>
      <c r="AF734" s="13">
        <f>AA734+AB734+AE734</f>
      </c>
      <c r="AG734" s="13">
        <f>I734+J734+L734</f>
      </c>
      <c r="AH734" s="18">
        <f>$H734*I734</f>
      </c>
      <c r="AI734" s="18">
        <f>$H734*J734</f>
      </c>
      <c r="AJ734" s="18">
        <f>$H734*K734</f>
      </c>
      <c r="AK734" s="18">
        <f>$H734*L734</f>
      </c>
      <c r="AL734" s="18">
        <f>$H734*M734</f>
      </c>
      <c r="AM734" s="14"/>
      <c r="AN734" s="14"/>
      <c r="AO734" s="14"/>
    </row>
    <row x14ac:dyDescent="0.25" r="735" customHeight="1" ht="17.25">
      <c r="A735" s="2" t="s">
        <v>1461</v>
      </c>
      <c r="B735" s="2" t="s">
        <v>1452</v>
      </c>
      <c r="C735" s="2" t="s">
        <v>50</v>
      </c>
      <c r="D735" s="2"/>
      <c r="E735" s="12" t="s">
        <v>42</v>
      </c>
      <c r="F735" s="2" t="s">
        <v>43</v>
      </c>
      <c r="G735" s="2" t="s">
        <v>1453</v>
      </c>
      <c r="H735" s="14">
        <v>30</v>
      </c>
      <c r="I735" s="13">
        <v>0.1</v>
      </c>
      <c r="J735" s="13">
        <v>1.2</v>
      </c>
      <c r="K735" s="14"/>
      <c r="L735" s="13">
        <v>1.9</v>
      </c>
      <c r="M735" s="13"/>
      <c r="N735" s="15"/>
      <c r="O735" s="16"/>
      <c r="P735" s="13"/>
      <c r="Q735" s="13"/>
      <c r="R735" s="17"/>
      <c r="S735" s="13"/>
      <c r="T735" s="17"/>
      <c r="U735" s="13"/>
      <c r="V735" s="16"/>
      <c r="W735" s="13"/>
      <c r="X735" s="13"/>
      <c r="Y735" s="14"/>
      <c r="Z735" s="2"/>
      <c r="AA735" s="13">
        <f>H735*I735/100</f>
      </c>
      <c r="AB735" s="13">
        <f>H735*J735/100</f>
      </c>
      <c r="AC735" s="15">
        <f>H735*K735</f>
      </c>
      <c r="AD735" s="15">
        <f>H735*M735</f>
      </c>
      <c r="AE735" s="13">
        <f>H735*L735/100</f>
      </c>
      <c r="AF735" s="13">
        <f>AA735+AB735+AE735</f>
      </c>
      <c r="AG735" s="13">
        <f>I735+J735+L735</f>
      </c>
      <c r="AH735" s="18">
        <f>$H735*I735</f>
      </c>
      <c r="AI735" s="18">
        <f>$H735*J735</f>
      </c>
      <c r="AJ735" s="18">
        <f>$H735*K735</f>
      </c>
      <c r="AK735" s="18">
        <f>$H735*L735</f>
      </c>
      <c r="AL735" s="18">
        <f>$H735*M735</f>
      </c>
      <c r="AM735" s="14"/>
      <c r="AN735" s="14"/>
      <c r="AO735" s="14"/>
    </row>
    <row x14ac:dyDescent="0.25" r="736" customHeight="1" ht="17.25">
      <c r="A736" s="2" t="s">
        <v>1462</v>
      </c>
      <c r="B736" s="2" t="s">
        <v>1452</v>
      </c>
      <c r="C736" s="2" t="s">
        <v>50</v>
      </c>
      <c r="D736" s="2"/>
      <c r="E736" s="12" t="s">
        <v>42</v>
      </c>
      <c r="F736" s="2" t="s">
        <v>43</v>
      </c>
      <c r="G736" s="2" t="s">
        <v>1453</v>
      </c>
      <c r="H736" s="14">
        <v>130</v>
      </c>
      <c r="I736" s="13">
        <v>0.1</v>
      </c>
      <c r="J736" s="13">
        <v>1.5</v>
      </c>
      <c r="K736" s="14"/>
      <c r="L736" s="14">
        <v>1</v>
      </c>
      <c r="M736" s="13"/>
      <c r="N736" s="15"/>
      <c r="O736" s="16"/>
      <c r="P736" s="13"/>
      <c r="Q736" s="13"/>
      <c r="R736" s="17"/>
      <c r="S736" s="13"/>
      <c r="T736" s="17"/>
      <c r="U736" s="13"/>
      <c r="V736" s="16"/>
      <c r="W736" s="13">
        <v>0.07</v>
      </c>
      <c r="X736" s="13"/>
      <c r="Y736" s="14"/>
      <c r="Z736" s="2"/>
      <c r="AA736" s="13">
        <f>H736*I736/100</f>
      </c>
      <c r="AB736" s="13">
        <f>H736*J736/100</f>
      </c>
      <c r="AC736" s="15">
        <f>H736*K736</f>
      </c>
      <c r="AD736" s="15">
        <f>H736*M736</f>
      </c>
      <c r="AE736" s="13">
        <f>H736*L736/100</f>
      </c>
      <c r="AF736" s="13">
        <f>AA736+AB736+AE736</f>
      </c>
      <c r="AG736" s="13">
        <f>I736+J736+L736</f>
      </c>
      <c r="AH736" s="18">
        <f>$H736*I736</f>
      </c>
      <c r="AI736" s="18">
        <f>$H736*J736</f>
      </c>
      <c r="AJ736" s="18">
        <f>$H736*K736</f>
      </c>
      <c r="AK736" s="18">
        <f>$H736*L736</f>
      </c>
      <c r="AL736" s="18">
        <f>$H736*M736</f>
      </c>
      <c r="AM736" s="14"/>
      <c r="AN736" s="14"/>
      <c r="AO736" s="14"/>
    </row>
    <row x14ac:dyDescent="0.25" r="737" customHeight="1" ht="17.25">
      <c r="A737" s="2" t="s">
        <v>1463</v>
      </c>
      <c r="B737" s="2" t="s">
        <v>1452</v>
      </c>
      <c r="C737" s="2" t="s">
        <v>50</v>
      </c>
      <c r="D737" s="2"/>
      <c r="E737" s="12" t="s">
        <v>42</v>
      </c>
      <c r="F737" s="2" t="s">
        <v>43</v>
      </c>
      <c r="G737" s="2" t="s">
        <v>1453</v>
      </c>
      <c r="H737" s="14">
        <v>380</v>
      </c>
      <c r="I737" s="13">
        <v>0.06</v>
      </c>
      <c r="J737" s="13">
        <v>0.74</v>
      </c>
      <c r="K737" s="13">
        <v>6.3</v>
      </c>
      <c r="L737" s="13">
        <v>1.57</v>
      </c>
      <c r="M737" s="13">
        <v>0.9</v>
      </c>
      <c r="N737" s="15"/>
      <c r="O737" s="16"/>
      <c r="P737" s="13"/>
      <c r="Q737" s="13"/>
      <c r="R737" s="17"/>
      <c r="S737" s="13"/>
      <c r="T737" s="17"/>
      <c r="U737" s="13"/>
      <c r="V737" s="16"/>
      <c r="W737" s="13"/>
      <c r="X737" s="13"/>
      <c r="Y737" s="14"/>
      <c r="Z737" s="2"/>
      <c r="AA737" s="13">
        <f>H737*I737/100</f>
      </c>
      <c r="AB737" s="13">
        <f>H737*J737/100</f>
      </c>
      <c r="AC737" s="15">
        <f>H737*K737</f>
      </c>
      <c r="AD737" s="15">
        <f>H737*M737</f>
      </c>
      <c r="AE737" s="13">
        <f>H737*L737/100</f>
      </c>
      <c r="AF737" s="13">
        <f>AA737+AB737+AE737</f>
      </c>
      <c r="AG737" s="13">
        <f>I737+J737+L737</f>
      </c>
      <c r="AH737" s="18">
        <f>$H737*I737</f>
      </c>
      <c r="AI737" s="18">
        <f>$H737*J737</f>
      </c>
      <c r="AJ737" s="18">
        <f>$H737*K737</f>
      </c>
      <c r="AK737" s="18">
        <f>$H737*L737</f>
      </c>
      <c r="AL737" s="18">
        <f>$H737*M737</f>
      </c>
      <c r="AM737" s="14"/>
      <c r="AN737" s="14"/>
      <c r="AO737" s="14"/>
    </row>
    <row x14ac:dyDescent="0.25" r="738" customHeight="1" ht="17.25">
      <c r="A738" s="2" t="s">
        <v>1464</v>
      </c>
      <c r="B738" s="2" t="s">
        <v>1452</v>
      </c>
      <c r="C738" s="2" t="s">
        <v>56</v>
      </c>
      <c r="D738" s="2"/>
      <c r="E738" s="2" t="s">
        <v>52</v>
      </c>
      <c r="F738" s="2" t="s">
        <v>1465</v>
      </c>
      <c r="G738" s="2" t="s">
        <v>103</v>
      </c>
      <c r="H738" s="13">
        <f>0.16+0.12+0.47</f>
      </c>
      <c r="I738" s="15">
        <f>(3.9*0.263+2.8*0.408+2.3*1.614)/(0.263+0.408+1.614)</f>
      </c>
      <c r="J738" s="13"/>
      <c r="K738" s="17">
        <f>(773*0.263+617*0.408+622*1.614)/(0.263+0.408+1.614)</f>
      </c>
      <c r="L738" s="13"/>
      <c r="M738" s="13"/>
      <c r="N738" s="15"/>
      <c r="O738" s="16"/>
      <c r="P738" s="13"/>
      <c r="Q738" s="13"/>
      <c r="R738" s="17"/>
      <c r="S738" s="13"/>
      <c r="T738" s="17"/>
      <c r="U738" s="13"/>
      <c r="V738" s="16"/>
      <c r="W738" s="13"/>
      <c r="X738" s="13"/>
      <c r="Y738" s="14"/>
      <c r="Z738" s="2"/>
      <c r="AA738" s="13">
        <f>H738*I738/100</f>
      </c>
      <c r="AB738" s="13">
        <f>H738*J738/100</f>
      </c>
      <c r="AC738" s="15">
        <f>H738*K738</f>
      </c>
      <c r="AD738" s="15">
        <f>H738*M738</f>
      </c>
      <c r="AE738" s="13">
        <f>H738*L738/100</f>
      </c>
      <c r="AF738" s="13">
        <f>AA738+AB738+AE738</f>
      </c>
      <c r="AG738" s="13">
        <f>I738+J738+L738</f>
      </c>
      <c r="AH738" s="18">
        <f>$H738*I738</f>
      </c>
      <c r="AI738" s="18">
        <f>$H738*J738</f>
      </c>
      <c r="AJ738" s="18">
        <f>$H738*K738</f>
      </c>
      <c r="AK738" s="18">
        <f>$H738*L738</f>
      </c>
      <c r="AL738" s="18">
        <f>$H738*M738</f>
      </c>
      <c r="AM738" s="14"/>
      <c r="AN738" s="14"/>
      <c r="AO738" s="14"/>
    </row>
    <row x14ac:dyDescent="0.25" r="739" customHeight="1" ht="17.25">
      <c r="A739" s="2" t="s">
        <v>1466</v>
      </c>
      <c r="B739" s="2" t="s">
        <v>1452</v>
      </c>
      <c r="C739" s="2" t="s">
        <v>40</v>
      </c>
      <c r="D739" s="2" t="s">
        <v>64</v>
      </c>
      <c r="E739" s="12" t="s">
        <v>42</v>
      </c>
      <c r="F739" s="2" t="s">
        <v>43</v>
      </c>
      <c r="G739" s="2" t="s">
        <v>1467</v>
      </c>
      <c r="H739" s="14">
        <v>300</v>
      </c>
      <c r="I739" s="15">
        <v>6.5</v>
      </c>
      <c r="J739" s="13">
        <v>1.4</v>
      </c>
      <c r="K739" s="17"/>
      <c r="L739" s="13"/>
      <c r="M739" s="13"/>
      <c r="N739" s="15"/>
      <c r="O739" s="16"/>
      <c r="P739" s="13"/>
      <c r="Q739" s="13"/>
      <c r="R739" s="17"/>
      <c r="S739" s="13"/>
      <c r="T739" s="17"/>
      <c r="U739" s="13"/>
      <c r="V739" s="16"/>
      <c r="W739" s="13"/>
      <c r="X739" s="13"/>
      <c r="Y739" s="14"/>
      <c r="Z739" s="2"/>
      <c r="AA739" s="13">
        <f>H739*I739/100</f>
      </c>
      <c r="AB739" s="13">
        <f>H739*J739/100</f>
      </c>
      <c r="AC739" s="15">
        <f>H739*K739</f>
      </c>
      <c r="AD739" s="15">
        <f>H739*M739</f>
      </c>
      <c r="AE739" s="13">
        <f>H739*L739/100</f>
      </c>
      <c r="AF739" s="13">
        <f>AA739+AB739+AE739</f>
      </c>
      <c r="AG739" s="13">
        <f>I739+J739+L739</f>
      </c>
      <c r="AH739" s="18">
        <f>$H739*I739</f>
      </c>
      <c r="AI739" s="18">
        <f>$H739*J739</f>
      </c>
      <c r="AJ739" s="18">
        <f>$H739*K739</f>
      </c>
      <c r="AK739" s="18">
        <f>$H739*L739</f>
      </c>
      <c r="AL739" s="18">
        <f>$H739*M739</f>
      </c>
      <c r="AM739" s="14"/>
      <c r="AN739" s="14"/>
      <c r="AO739" s="14"/>
    </row>
    <row x14ac:dyDescent="0.25" r="740" customHeight="1" ht="17.25">
      <c r="A740" s="2" t="s">
        <v>1468</v>
      </c>
      <c r="B740" s="2" t="s">
        <v>1452</v>
      </c>
      <c r="C740" s="2" t="s">
        <v>159</v>
      </c>
      <c r="D740" s="2"/>
      <c r="E740" s="12" t="s">
        <v>42</v>
      </c>
      <c r="F740" s="2" t="s">
        <v>43</v>
      </c>
      <c r="G740" s="2" t="s">
        <v>1453</v>
      </c>
      <c r="H740" s="14">
        <v>160</v>
      </c>
      <c r="I740" s="13"/>
      <c r="J740" s="13">
        <v>0.08</v>
      </c>
      <c r="K740" s="14"/>
      <c r="L740" s="13">
        <v>0.13</v>
      </c>
      <c r="M740" s="13"/>
      <c r="N740" s="15"/>
      <c r="O740" s="16"/>
      <c r="P740" s="13">
        <v>0.022</v>
      </c>
      <c r="Q740" s="13"/>
      <c r="R740" s="17"/>
      <c r="S740" s="13"/>
      <c r="T740" s="13">
        <v>35.5</v>
      </c>
      <c r="U740" s="13"/>
      <c r="V740" s="16"/>
      <c r="W740" s="13"/>
      <c r="X740" s="13">
        <f>0.68*(2*50.9415/(2*50.9415+5*16))</f>
      </c>
      <c r="Y740" s="13">
        <v>0.6</v>
      </c>
      <c r="Z740" s="2" t="s">
        <v>1469</v>
      </c>
      <c r="AA740" s="13">
        <f>H740*I740/100</f>
      </c>
      <c r="AB740" s="13">
        <f>H740*J740/100</f>
      </c>
      <c r="AC740" s="15">
        <f>H740*K740</f>
      </c>
      <c r="AD740" s="15">
        <f>H740*M740</f>
      </c>
      <c r="AE740" s="13">
        <f>H740*L740/100</f>
      </c>
      <c r="AF740" s="13">
        <f>AA740+AB740+AE740</f>
      </c>
      <c r="AG740" s="13">
        <f>I740+J740+L740</f>
      </c>
      <c r="AH740" s="18">
        <f>$H740*I740</f>
      </c>
      <c r="AI740" s="18">
        <f>$H740*J740</f>
      </c>
      <c r="AJ740" s="18">
        <f>$H740*K740</f>
      </c>
      <c r="AK740" s="18">
        <f>$H740*L740</f>
      </c>
      <c r="AL740" s="18">
        <f>$H740*M740</f>
      </c>
      <c r="AM740" s="14"/>
      <c r="AN740" s="14"/>
      <c r="AO740" s="14"/>
    </row>
    <row x14ac:dyDescent="0.25" r="741" customHeight="1" ht="17.25">
      <c r="A741" s="2" t="s">
        <v>1470</v>
      </c>
      <c r="B741" s="2" t="s">
        <v>1452</v>
      </c>
      <c r="C741" s="2" t="s">
        <v>50</v>
      </c>
      <c r="D741" s="2"/>
      <c r="E741" s="12" t="s">
        <v>42</v>
      </c>
      <c r="F741" s="2" t="s">
        <v>43</v>
      </c>
      <c r="G741" s="2" t="s">
        <v>1453</v>
      </c>
      <c r="H741" s="14">
        <v>1</v>
      </c>
      <c r="I741" s="13"/>
      <c r="J741" s="13">
        <v>0.2</v>
      </c>
      <c r="K741" s="13">
        <v>5.1</v>
      </c>
      <c r="L741" s="13">
        <v>6.4</v>
      </c>
      <c r="M741" s="13">
        <v>1.4</v>
      </c>
      <c r="N741" s="15"/>
      <c r="O741" s="13">
        <v>0.3</v>
      </c>
      <c r="P741" s="13">
        <v>0.2</v>
      </c>
      <c r="Q741" s="13"/>
      <c r="R741" s="17"/>
      <c r="S741" s="13"/>
      <c r="T741" s="17"/>
      <c r="U741" s="13"/>
      <c r="V741" s="16"/>
      <c r="W741" s="13">
        <v>0.2</v>
      </c>
      <c r="X741" s="13"/>
      <c r="Y741" s="14">
        <v>1</v>
      </c>
      <c r="Z741" s="2" t="s">
        <v>1471</v>
      </c>
      <c r="AA741" s="13">
        <f>H741*I741/100</f>
      </c>
      <c r="AB741" s="13">
        <f>H741*J741/100</f>
      </c>
      <c r="AC741" s="15">
        <f>H741*K741</f>
      </c>
      <c r="AD741" s="15">
        <f>H741*M741</f>
      </c>
      <c r="AE741" s="13">
        <f>H741*L741/100</f>
      </c>
      <c r="AF741" s="13">
        <f>AA741+AB741+AE741</f>
      </c>
      <c r="AG741" s="13">
        <f>I741+J741+L741</f>
      </c>
      <c r="AH741" s="18">
        <f>$H741*I741</f>
      </c>
      <c r="AI741" s="18">
        <f>$H741*J741</f>
      </c>
      <c r="AJ741" s="18">
        <f>$H741*K741</f>
      </c>
      <c r="AK741" s="18">
        <f>$H741*L741</f>
      </c>
      <c r="AL741" s="18">
        <f>$H741*M741</f>
      </c>
      <c r="AM741" s="14"/>
      <c r="AN741" s="14"/>
      <c r="AO741" s="14"/>
    </row>
    <row x14ac:dyDescent="0.25" r="742" customHeight="1" ht="17.25">
      <c r="A742" s="2" t="s">
        <v>1472</v>
      </c>
      <c r="B742" s="2" t="s">
        <v>1452</v>
      </c>
      <c r="C742" s="2" t="s">
        <v>40</v>
      </c>
      <c r="D742" s="2" t="s">
        <v>64</v>
      </c>
      <c r="E742" s="12" t="s">
        <v>42</v>
      </c>
      <c r="F742" s="2" t="s">
        <v>1473</v>
      </c>
      <c r="G742" s="2" t="s">
        <v>1474</v>
      </c>
      <c r="H742" s="17">
        <f>334+185</f>
      </c>
      <c r="I742" s="13">
        <f>100*(2.01+1.35)/$H742</f>
      </c>
      <c r="J742" s="13">
        <f>100*(13.34+7.86)/$H742</f>
      </c>
      <c r="K742" s="14">
        <v>28</v>
      </c>
      <c r="L742" s="13"/>
      <c r="M742" s="13"/>
      <c r="N742" s="15"/>
      <c r="O742" s="16"/>
      <c r="P742" s="13"/>
      <c r="Q742" s="13"/>
      <c r="R742" s="17"/>
      <c r="S742" s="13"/>
      <c r="T742" s="17"/>
      <c r="U742" s="13"/>
      <c r="V742" s="16"/>
      <c r="W742" s="13"/>
      <c r="X742" s="13"/>
      <c r="Y742" s="14"/>
      <c r="Z742" s="2" t="s">
        <v>1475</v>
      </c>
      <c r="AA742" s="13">
        <f>H742*I742/100</f>
      </c>
      <c r="AB742" s="13">
        <f>H742*J742/100</f>
      </c>
      <c r="AC742" s="15">
        <f>H742*K742</f>
      </c>
      <c r="AD742" s="15">
        <f>H742*M742</f>
      </c>
      <c r="AE742" s="13">
        <f>H742*L742/100</f>
      </c>
      <c r="AF742" s="13">
        <f>AA742+AB742+AE742</f>
      </c>
      <c r="AG742" s="13">
        <f>I742+J742+L742</f>
      </c>
      <c r="AH742" s="18">
        <f>$H742*I742</f>
      </c>
      <c r="AI742" s="18">
        <f>$H742*J742</f>
      </c>
      <c r="AJ742" s="18">
        <f>$H742*K742</f>
      </c>
      <c r="AK742" s="18">
        <f>$H742*L742</f>
      </c>
      <c r="AL742" s="18">
        <f>$H742*M742</f>
      </c>
      <c r="AM742" s="14"/>
      <c r="AN742" s="14"/>
      <c r="AO742" s="14"/>
    </row>
    <row x14ac:dyDescent="0.25" r="743" customHeight="1" ht="17.25">
      <c r="A743" s="2" t="s">
        <v>1476</v>
      </c>
      <c r="B743" s="2" t="s">
        <v>1452</v>
      </c>
      <c r="C743" s="2" t="s">
        <v>338</v>
      </c>
      <c r="D743" s="2"/>
      <c r="E743" s="12" t="s">
        <v>42</v>
      </c>
      <c r="F743" s="2" t="s">
        <v>1477</v>
      </c>
      <c r="G743" s="2" t="s">
        <v>864</v>
      </c>
      <c r="H743" s="15">
        <v>31</v>
      </c>
      <c r="I743" s="13"/>
      <c r="J743" s="13">
        <v>0.9</v>
      </c>
      <c r="K743" s="14">
        <v>11</v>
      </c>
      <c r="L743" s="13">
        <v>1.6</v>
      </c>
      <c r="M743" s="13">
        <v>0.8</v>
      </c>
      <c r="N743" s="15"/>
      <c r="O743" s="16"/>
      <c r="P743" s="13"/>
      <c r="Q743" s="13"/>
      <c r="R743" s="17"/>
      <c r="S743" s="13"/>
      <c r="T743" s="17"/>
      <c r="U743" s="13"/>
      <c r="V743" s="16"/>
      <c r="W743" s="13"/>
      <c r="X743" s="13"/>
      <c r="Y743" s="16"/>
      <c r="Z743" s="2"/>
      <c r="AA743" s="13">
        <f>H743*I743/100</f>
      </c>
      <c r="AB743" s="13">
        <f>H743*J743/100</f>
      </c>
      <c r="AC743" s="15">
        <f>H743*K743</f>
      </c>
      <c r="AD743" s="15">
        <f>H743*M743</f>
      </c>
      <c r="AE743" s="13">
        <f>H743*L743/100</f>
      </c>
      <c r="AF743" s="13">
        <f>AA743+AB743+AE743</f>
      </c>
      <c r="AG743" s="13">
        <f>I743+J743+L743</f>
      </c>
      <c r="AH743" s="18">
        <f>$H743*I743</f>
      </c>
      <c r="AI743" s="18">
        <f>$H743*J743</f>
      </c>
      <c r="AJ743" s="18">
        <f>$H743*K743</f>
      </c>
      <c r="AK743" s="18">
        <f>$H743*L743</f>
      </c>
      <c r="AL743" s="18">
        <f>$H743*M743</f>
      </c>
      <c r="AM743" s="14"/>
      <c r="AN743" s="14"/>
      <c r="AO743" s="14"/>
    </row>
    <row x14ac:dyDescent="0.25" r="744" customHeight="1" ht="17.25">
      <c r="A744" s="2" t="s">
        <v>1478</v>
      </c>
      <c r="B744" s="2" t="s">
        <v>1452</v>
      </c>
      <c r="C744" s="2" t="s">
        <v>50</v>
      </c>
      <c r="D744" s="2"/>
      <c r="E744" s="12" t="s">
        <v>42</v>
      </c>
      <c r="F744" s="2" t="s">
        <v>43</v>
      </c>
      <c r="G744" s="2" t="s">
        <v>1453</v>
      </c>
      <c r="H744" s="13">
        <v>0.5</v>
      </c>
      <c r="I744" s="13"/>
      <c r="J744" s="13">
        <v>0.85</v>
      </c>
      <c r="K744" s="13">
        <v>14.8</v>
      </c>
      <c r="L744" s="13">
        <v>2.1</v>
      </c>
      <c r="M744" s="13">
        <v>1.6</v>
      </c>
      <c r="N744" s="15"/>
      <c r="O744" s="16"/>
      <c r="P744" s="13"/>
      <c r="Q744" s="13"/>
      <c r="R744" s="17"/>
      <c r="S744" s="13"/>
      <c r="T744" s="17"/>
      <c r="U744" s="13"/>
      <c r="V744" s="16"/>
      <c r="W744" s="13"/>
      <c r="X744" s="13"/>
      <c r="Y744" s="14"/>
      <c r="Z744" s="2"/>
      <c r="AA744" s="13">
        <f>H744*I744/100</f>
      </c>
      <c r="AB744" s="13">
        <f>H744*J744/100</f>
      </c>
      <c r="AC744" s="15">
        <f>H744*K744</f>
      </c>
      <c r="AD744" s="15">
        <f>H744*M744</f>
      </c>
      <c r="AE744" s="13">
        <f>H744*L744/100</f>
      </c>
      <c r="AF744" s="13">
        <f>AA744+AB744+AE744</f>
      </c>
      <c r="AG744" s="13">
        <f>I744+J744+L744</f>
      </c>
      <c r="AH744" s="18">
        <f>$H744*I744</f>
      </c>
      <c r="AI744" s="18">
        <f>$H744*J744</f>
      </c>
      <c r="AJ744" s="18">
        <f>$H744*K744</f>
      </c>
      <c r="AK744" s="18">
        <f>$H744*L744</f>
      </c>
      <c r="AL744" s="18">
        <f>$H744*M744</f>
      </c>
      <c r="AM744" s="14"/>
      <c r="AN744" s="14"/>
      <c r="AO744" s="14"/>
    </row>
    <row x14ac:dyDescent="0.25" r="745" customHeight="1" ht="17.25">
      <c r="A745" s="2" t="s">
        <v>1479</v>
      </c>
      <c r="B745" s="2" t="s">
        <v>1452</v>
      </c>
      <c r="C745" s="2" t="s">
        <v>50</v>
      </c>
      <c r="D745" s="2"/>
      <c r="E745" s="12" t="s">
        <v>42</v>
      </c>
      <c r="F745" s="2" t="s">
        <v>43</v>
      </c>
      <c r="G745" s="2" t="s">
        <v>1480</v>
      </c>
      <c r="H745" s="13">
        <v>24.5</v>
      </c>
      <c r="I745" s="13">
        <v>2.01</v>
      </c>
      <c r="J745" s="13">
        <v>9.8</v>
      </c>
      <c r="K745" s="15">
        <f>43.5*31.1/H745</f>
      </c>
      <c r="L745" s="13"/>
      <c r="M745" s="13"/>
      <c r="N745" s="15"/>
      <c r="O745" s="16"/>
      <c r="P745" s="13"/>
      <c r="Q745" s="13"/>
      <c r="R745" s="17"/>
      <c r="S745" s="13"/>
      <c r="T745" s="17"/>
      <c r="U745" s="13"/>
      <c r="V745" s="16"/>
      <c r="W745" s="13"/>
      <c r="X745" s="13"/>
      <c r="Y745" s="14"/>
      <c r="Z745" s="2"/>
      <c r="AA745" s="13">
        <f>H745*I745/100</f>
      </c>
      <c r="AB745" s="13">
        <f>H745*J745/100</f>
      </c>
      <c r="AC745" s="15">
        <f>H745*K745</f>
      </c>
      <c r="AD745" s="15">
        <f>H745*M745</f>
      </c>
      <c r="AE745" s="13">
        <f>H745*L745/100</f>
      </c>
      <c r="AF745" s="13">
        <f>AA745+AB745+AE745</f>
      </c>
      <c r="AG745" s="13">
        <f>I745+J745+L745</f>
      </c>
      <c r="AH745" s="18">
        <f>$H745*I745</f>
      </c>
      <c r="AI745" s="18">
        <f>$H745*J745</f>
      </c>
      <c r="AJ745" s="18">
        <f>$H745*K745</f>
      </c>
      <c r="AK745" s="18">
        <f>$H745*L745</f>
      </c>
      <c r="AL745" s="18">
        <f>$H745*M745</f>
      </c>
      <c r="AM745" s="14"/>
      <c r="AN745" s="14"/>
      <c r="AO745" s="14"/>
    </row>
    <row x14ac:dyDescent="0.25" r="746" customHeight="1" ht="17.25">
      <c r="A746" s="2" t="s">
        <v>1481</v>
      </c>
      <c r="B746" s="2" t="s">
        <v>1452</v>
      </c>
      <c r="C746" s="2" t="s">
        <v>50</v>
      </c>
      <c r="D746" s="2"/>
      <c r="E746" s="12" t="s">
        <v>42</v>
      </c>
      <c r="F746" s="2" t="s">
        <v>43</v>
      </c>
      <c r="G746" s="2" t="s">
        <v>1453</v>
      </c>
      <c r="H746" s="13">
        <v>14.1</v>
      </c>
      <c r="I746" s="13"/>
      <c r="J746" s="13">
        <v>0.73</v>
      </c>
      <c r="K746" s="14"/>
      <c r="L746" s="13">
        <v>2.16</v>
      </c>
      <c r="M746" s="13"/>
      <c r="N746" s="15"/>
      <c r="O746" s="16"/>
      <c r="P746" s="13"/>
      <c r="Q746" s="13"/>
      <c r="R746" s="17"/>
      <c r="S746" s="13"/>
      <c r="T746" s="17"/>
      <c r="U746" s="13"/>
      <c r="V746" s="16"/>
      <c r="W746" s="13"/>
      <c r="X746" s="13"/>
      <c r="Y746" s="14"/>
      <c r="Z746" s="2"/>
      <c r="AA746" s="13">
        <f>H746*I746/100</f>
      </c>
      <c r="AB746" s="13">
        <f>H746*J746/100</f>
      </c>
      <c r="AC746" s="15">
        <f>H746*K746</f>
      </c>
      <c r="AD746" s="15">
        <f>H746*M746</f>
      </c>
      <c r="AE746" s="13">
        <f>H746*L746/100</f>
      </c>
      <c r="AF746" s="13">
        <f>AA746+AB746+AE746</f>
      </c>
      <c r="AG746" s="13">
        <f>I746+J746+L746</f>
      </c>
      <c r="AH746" s="18">
        <f>$H746*I746</f>
      </c>
      <c r="AI746" s="18">
        <f>$H746*J746</f>
      </c>
      <c r="AJ746" s="18">
        <f>$H746*K746</f>
      </c>
      <c r="AK746" s="18">
        <f>$H746*L746</f>
      </c>
      <c r="AL746" s="18">
        <f>$H746*M746</f>
      </c>
      <c r="AM746" s="14"/>
      <c r="AN746" s="14"/>
      <c r="AO746" s="14"/>
    </row>
    <row x14ac:dyDescent="0.25" r="747" customHeight="1" ht="17.25">
      <c r="A747" s="2" t="s">
        <v>1482</v>
      </c>
      <c r="B747" s="2" t="s">
        <v>1452</v>
      </c>
      <c r="C747" s="2" t="s">
        <v>50</v>
      </c>
      <c r="D747" s="2"/>
      <c r="E747" s="12" t="s">
        <v>42</v>
      </c>
      <c r="F747" s="2" t="s">
        <v>43</v>
      </c>
      <c r="G747" s="2" t="s">
        <v>1453</v>
      </c>
      <c r="H747" s="14">
        <v>6</v>
      </c>
      <c r="I747" s="13">
        <v>0.6</v>
      </c>
      <c r="J747" s="13">
        <v>1.2</v>
      </c>
      <c r="K747" s="13">
        <v>13.7</v>
      </c>
      <c r="L747" s="13">
        <v>2.8</v>
      </c>
      <c r="M747" s="13"/>
      <c r="N747" s="15"/>
      <c r="O747" s="16"/>
      <c r="P747" s="13">
        <v>0.17</v>
      </c>
      <c r="Q747" s="13"/>
      <c r="R747" s="17"/>
      <c r="S747" s="13"/>
      <c r="T747" s="17"/>
      <c r="U747" s="13"/>
      <c r="V747" s="16"/>
      <c r="W747" s="13"/>
      <c r="X747" s="13"/>
      <c r="Y747" s="14"/>
      <c r="Z747" s="2"/>
      <c r="AA747" s="13">
        <f>H747*I747/100</f>
      </c>
      <c r="AB747" s="13">
        <f>H747*J747/100</f>
      </c>
      <c r="AC747" s="15">
        <f>H747*K747</f>
      </c>
      <c r="AD747" s="15">
        <f>H747*M747</f>
      </c>
      <c r="AE747" s="13">
        <f>H747*L747/100</f>
      </c>
      <c r="AF747" s="13">
        <f>AA747+AB747+AE747</f>
      </c>
      <c r="AG747" s="13">
        <f>I747+J747+L747</f>
      </c>
      <c r="AH747" s="18">
        <f>$H747*I747</f>
      </c>
      <c r="AI747" s="18">
        <f>$H747*J747</f>
      </c>
      <c r="AJ747" s="18">
        <f>$H747*K747</f>
      </c>
      <c r="AK747" s="18">
        <f>$H747*L747</f>
      </c>
      <c r="AL747" s="18">
        <f>$H747*M747</f>
      </c>
      <c r="AM747" s="14"/>
      <c r="AN747" s="14"/>
      <c r="AO747" s="14"/>
    </row>
    <row x14ac:dyDescent="0.25" r="748" customHeight="1" ht="17.25">
      <c r="A748" s="2" t="s">
        <v>1483</v>
      </c>
      <c r="B748" s="2" t="s">
        <v>1452</v>
      </c>
      <c r="C748" s="2" t="s">
        <v>40</v>
      </c>
      <c r="D748" s="2"/>
      <c r="E748" s="12" t="s">
        <v>42</v>
      </c>
      <c r="F748" s="2" t="s">
        <v>43</v>
      </c>
      <c r="G748" s="2" t="s">
        <v>463</v>
      </c>
      <c r="H748" s="14">
        <v>80</v>
      </c>
      <c r="I748" s="13"/>
      <c r="J748" s="13">
        <v>1.9</v>
      </c>
      <c r="K748" s="14"/>
      <c r="L748" s="13">
        <v>0.7</v>
      </c>
      <c r="M748" s="13"/>
      <c r="N748" s="15"/>
      <c r="O748" s="16"/>
      <c r="P748" s="13"/>
      <c r="Q748" s="13"/>
      <c r="R748" s="17"/>
      <c r="S748" s="13"/>
      <c r="T748" s="17"/>
      <c r="U748" s="13"/>
      <c r="V748" s="16"/>
      <c r="W748" s="13"/>
      <c r="X748" s="13"/>
      <c r="Y748" s="14"/>
      <c r="Z748" s="2"/>
      <c r="AA748" s="13">
        <f>H748*I748/100</f>
      </c>
      <c r="AB748" s="13">
        <f>H748*J748/100</f>
      </c>
      <c r="AC748" s="15">
        <f>H748*K748</f>
      </c>
      <c r="AD748" s="15">
        <f>H748*M748</f>
      </c>
      <c r="AE748" s="13">
        <f>H748*L748/100</f>
      </c>
      <c r="AF748" s="13">
        <f>AA748+AB748+AE748</f>
      </c>
      <c r="AG748" s="13">
        <f>I748+J748+L748</f>
      </c>
      <c r="AH748" s="18">
        <f>$H748*I748</f>
      </c>
      <c r="AI748" s="18">
        <f>$H748*J748</f>
      </c>
      <c r="AJ748" s="18">
        <f>$H748*K748</f>
      </c>
      <c r="AK748" s="18">
        <f>$H748*L748</f>
      </c>
      <c r="AL748" s="18">
        <f>$H748*M748</f>
      </c>
      <c r="AM748" s="14"/>
      <c r="AN748" s="14"/>
      <c r="AO748" s="14"/>
    </row>
    <row x14ac:dyDescent="0.25" r="749" customHeight="1" ht="17.25">
      <c r="A749" s="2" t="s">
        <v>1484</v>
      </c>
      <c r="B749" s="2" t="s">
        <v>1452</v>
      </c>
      <c r="C749" s="2" t="s">
        <v>50</v>
      </c>
      <c r="D749" s="2"/>
      <c r="E749" s="12" t="s">
        <v>42</v>
      </c>
      <c r="F749" s="2" t="s">
        <v>43</v>
      </c>
      <c r="G749" s="2" t="s">
        <v>1453</v>
      </c>
      <c r="H749" s="14">
        <v>3</v>
      </c>
      <c r="I749" s="13"/>
      <c r="J749" s="13">
        <v>1.7</v>
      </c>
      <c r="K749" s="14"/>
      <c r="L749" s="13">
        <v>1.55</v>
      </c>
      <c r="M749" s="13"/>
      <c r="N749" s="15"/>
      <c r="O749" s="16"/>
      <c r="P749" s="13"/>
      <c r="Q749" s="13"/>
      <c r="R749" s="17"/>
      <c r="S749" s="13"/>
      <c r="T749" s="17"/>
      <c r="U749" s="13"/>
      <c r="V749" s="16"/>
      <c r="W749" s="13"/>
      <c r="X749" s="13"/>
      <c r="Y749" s="14"/>
      <c r="Z749" s="2"/>
      <c r="AA749" s="13">
        <f>H749*I749/100</f>
      </c>
      <c r="AB749" s="13">
        <f>H749*J749/100</f>
      </c>
      <c r="AC749" s="15">
        <f>H749*K749</f>
      </c>
      <c r="AD749" s="15">
        <f>H749*M749</f>
      </c>
      <c r="AE749" s="13">
        <f>H749*L749/100</f>
      </c>
      <c r="AF749" s="13">
        <f>AA749+AB749+AE749</f>
      </c>
      <c r="AG749" s="13">
        <f>I749+J749+L749</f>
      </c>
      <c r="AH749" s="18">
        <f>$H749*I749</f>
      </c>
      <c r="AI749" s="18">
        <f>$H749*J749</f>
      </c>
      <c r="AJ749" s="18">
        <f>$H749*K749</f>
      </c>
      <c r="AK749" s="18">
        <f>$H749*L749</f>
      </c>
      <c r="AL749" s="18">
        <f>$H749*M749</f>
      </c>
      <c r="AM749" s="14"/>
      <c r="AN749" s="14"/>
      <c r="AO749" s="14"/>
    </row>
    <row x14ac:dyDescent="0.25" r="750" customHeight="1" ht="17.25">
      <c r="A750" s="2" t="s">
        <v>1485</v>
      </c>
      <c r="B750" s="2" t="s">
        <v>1452</v>
      </c>
      <c r="C750" s="2" t="s">
        <v>159</v>
      </c>
      <c r="D750" s="2"/>
      <c r="E750" s="2" t="s">
        <v>52</v>
      </c>
      <c r="F750" s="2" t="s">
        <v>1473</v>
      </c>
      <c r="G750" s="2" t="s">
        <v>1474</v>
      </c>
      <c r="H750" s="13">
        <f>(0.1659+0.214)/(J750/100)</f>
      </c>
      <c r="I750" s="13"/>
      <c r="J750" s="13">
        <f>(7*0.1659+7.86*0.214)/(0.1659+0.214)</f>
      </c>
      <c r="K750" s="15">
        <f>(0*0.1659+266.3*0.214)/(0.1659+0.214)</f>
      </c>
      <c r="L750" s="13"/>
      <c r="M750" s="15">
        <f>(0*0.1659+1.4*0.214)/(0.1659+0.214)</f>
      </c>
      <c r="N750" s="15"/>
      <c r="O750" s="16"/>
      <c r="P750" s="13"/>
      <c r="Q750" s="13"/>
      <c r="R750" s="17"/>
      <c r="S750" s="13"/>
      <c r="T750" s="17"/>
      <c r="U750" s="13"/>
      <c r="V750" s="16"/>
      <c r="W750" s="13"/>
      <c r="X750" s="13"/>
      <c r="Y750" s="14"/>
      <c r="Z750" s="2"/>
      <c r="AA750" s="13">
        <f>H750*I750/100</f>
      </c>
      <c r="AB750" s="13">
        <f>H750*J750/100</f>
      </c>
      <c r="AC750" s="15">
        <f>H750*K750</f>
      </c>
      <c r="AD750" s="15">
        <f>H750*M750</f>
      </c>
      <c r="AE750" s="13">
        <f>H750*L750/100</f>
      </c>
      <c r="AF750" s="13">
        <f>AA750+AB750+AE750</f>
      </c>
      <c r="AG750" s="13">
        <f>I750+J750+L750</f>
      </c>
      <c r="AH750" s="18">
        <f>$H750*I750</f>
      </c>
      <c r="AI750" s="18">
        <f>$H750*J750</f>
      </c>
      <c r="AJ750" s="18">
        <f>$H750*K750</f>
      </c>
      <c r="AK750" s="18">
        <f>$H750*L750</f>
      </c>
      <c r="AL750" s="18">
        <f>$H750*M750</f>
      </c>
      <c r="AM750" s="14"/>
      <c r="AN750" s="14"/>
      <c r="AO750" s="14"/>
    </row>
    <row x14ac:dyDescent="0.25" r="751" customHeight="1" ht="17.25">
      <c r="A751" s="2" t="s">
        <v>1486</v>
      </c>
      <c r="B751" s="2" t="s">
        <v>1452</v>
      </c>
      <c r="C751" s="2" t="s">
        <v>1487</v>
      </c>
      <c r="D751" s="2"/>
      <c r="E751" s="2" t="s">
        <v>52</v>
      </c>
      <c r="F751" s="2" t="s">
        <v>1488</v>
      </c>
      <c r="G751" s="2" t="s">
        <v>108</v>
      </c>
      <c r="H751" s="16">
        <v>7.390939</v>
      </c>
      <c r="I751" s="13">
        <v>2.2</v>
      </c>
      <c r="J751" s="13">
        <v>1.1</v>
      </c>
      <c r="K751" s="13">
        <v>66.5</v>
      </c>
      <c r="L751" s="13"/>
      <c r="M751" s="15">
        <f>7.6-(2.2*0.510496+1.1*0.430005+66.5*0.01723)</f>
      </c>
      <c r="N751" s="15"/>
      <c r="O751" s="16"/>
      <c r="P751" s="13"/>
      <c r="Q751" s="13"/>
      <c r="R751" s="17"/>
      <c r="S751" s="13"/>
      <c r="T751" s="17"/>
      <c r="U751" s="13"/>
      <c r="V751" s="16"/>
      <c r="W751" s="13"/>
      <c r="X751" s="13"/>
      <c r="Y751" s="14"/>
      <c r="Z751" s="2"/>
      <c r="AA751" s="13">
        <f>H751*I751/100</f>
      </c>
      <c r="AB751" s="13">
        <f>H751*J751/100</f>
      </c>
      <c r="AC751" s="15">
        <f>H751*K751</f>
      </c>
      <c r="AD751" s="15">
        <f>H751*M751</f>
      </c>
      <c r="AE751" s="13">
        <f>H751*L751/100</f>
      </c>
      <c r="AF751" s="13">
        <f>AA751+AB751+AE751</f>
      </c>
      <c r="AG751" s="13">
        <f>I751+J751+L751</f>
      </c>
      <c r="AH751" s="18">
        <f>$H751*I751</f>
      </c>
      <c r="AI751" s="18">
        <f>$H751*J751</f>
      </c>
      <c r="AJ751" s="18">
        <f>$H751*K751</f>
      </c>
      <c r="AK751" s="18">
        <f>$H751*L751</f>
      </c>
      <c r="AL751" s="18">
        <f>$H751*M751</f>
      </c>
      <c r="AM751" s="14"/>
      <c r="AN751" s="14"/>
      <c r="AO751" s="14"/>
    </row>
    <row x14ac:dyDescent="0.25" r="752" customHeight="1" ht="17.25">
      <c r="A752" s="2" t="s">
        <v>1489</v>
      </c>
      <c r="B752" s="2" t="s">
        <v>1452</v>
      </c>
      <c r="C752" s="2" t="s">
        <v>159</v>
      </c>
      <c r="D752" s="2"/>
      <c r="E752" s="12" t="s">
        <v>42</v>
      </c>
      <c r="F752" s="2" t="s">
        <v>1490</v>
      </c>
      <c r="G752" s="2" t="s">
        <v>1480</v>
      </c>
      <c r="H752" s="14">
        <v>14</v>
      </c>
      <c r="I752" s="13">
        <v>1.79</v>
      </c>
      <c r="J752" s="13">
        <v>1.55</v>
      </c>
      <c r="K752" s="15">
        <f>30.4*31.1/H752</f>
      </c>
      <c r="L752" s="13"/>
      <c r="M752" s="13"/>
      <c r="N752" s="15"/>
      <c r="O752" s="16"/>
      <c r="P752" s="13"/>
      <c r="Q752" s="13"/>
      <c r="R752" s="17"/>
      <c r="S752" s="13"/>
      <c r="T752" s="17"/>
      <c r="U752" s="13"/>
      <c r="V752" s="16"/>
      <c r="W752" s="13"/>
      <c r="X752" s="13"/>
      <c r="Y752" s="14"/>
      <c r="Z752" s="2"/>
      <c r="AA752" s="13">
        <f>H752*I752/100</f>
      </c>
      <c r="AB752" s="13">
        <f>H752*J752/100</f>
      </c>
      <c r="AC752" s="15">
        <f>H752*K752</f>
      </c>
      <c r="AD752" s="15">
        <f>H752*M752</f>
      </c>
      <c r="AE752" s="13">
        <f>H752*L752/100</f>
      </c>
      <c r="AF752" s="22">
        <f>AA752+AB752+AE752</f>
      </c>
      <c r="AG752" s="13">
        <f>I752+J752+L752</f>
      </c>
      <c r="AH752" s="18">
        <f>$H752*I752</f>
      </c>
      <c r="AI752" s="18">
        <f>$H752*J752</f>
      </c>
      <c r="AJ752" s="18">
        <f>$H752*K752</f>
      </c>
      <c r="AK752" s="18">
        <f>$H752*L752</f>
      </c>
      <c r="AL752" s="18">
        <f>$H752*M752</f>
      </c>
      <c r="AM752" s="14"/>
      <c r="AN752" s="14"/>
      <c r="AO752" s="14"/>
    </row>
    <row x14ac:dyDescent="0.25" r="753" customHeight="1" ht="17.25">
      <c r="A753" s="2" t="s">
        <v>1491</v>
      </c>
      <c r="B753" s="2" t="s">
        <v>1452</v>
      </c>
      <c r="C753" s="2" t="s">
        <v>40</v>
      </c>
      <c r="D753" s="2" t="s">
        <v>64</v>
      </c>
      <c r="E753" s="2" t="s">
        <v>52</v>
      </c>
      <c r="F753" s="2" t="s">
        <v>1473</v>
      </c>
      <c r="G753" s="2" t="s">
        <v>1474</v>
      </c>
      <c r="H753" s="13">
        <f>125.271+9.787</f>
      </c>
      <c r="I753" s="13">
        <f>(1.17*125.271+1.02*9.787)/$H753</f>
      </c>
      <c r="J753" s="13">
        <f>(6.16*125.271+5.63*9.787)/$H753</f>
      </c>
      <c r="K753" s="15">
        <f>(37.6*125.271+25.5*9.787)/$H753</f>
      </c>
      <c r="L753" s="13"/>
      <c r="M753" s="13"/>
      <c r="N753" s="15"/>
      <c r="O753" s="16"/>
      <c r="P753" s="13"/>
      <c r="Q753" s="13"/>
      <c r="R753" s="17"/>
      <c r="S753" s="13"/>
      <c r="T753" s="17"/>
      <c r="U753" s="13"/>
      <c r="V753" s="16"/>
      <c r="W753" s="13"/>
      <c r="X753" s="13"/>
      <c r="Y753" s="16">
        <f>(0.016*125.271+0.014*9.787)/$H753</f>
      </c>
      <c r="Z753" s="2" t="s">
        <v>418</v>
      </c>
      <c r="AA753" s="13">
        <f>H753*I753/100</f>
      </c>
      <c r="AB753" s="13">
        <f>H753*J753/100</f>
      </c>
      <c r="AC753" s="15">
        <f>H753*K753</f>
      </c>
      <c r="AD753" s="15">
        <f>H753*M753</f>
      </c>
      <c r="AE753" s="13">
        <f>H753*L753/100</f>
      </c>
      <c r="AF753" s="13">
        <f>AA753+AB753+AE753</f>
      </c>
      <c r="AG753" s="13">
        <f>I753+J753+L753</f>
      </c>
      <c r="AH753" s="18">
        <f>$H753*I753</f>
      </c>
      <c r="AI753" s="18">
        <f>$H753*J753</f>
      </c>
      <c r="AJ753" s="18">
        <f>$H753*K753</f>
      </c>
      <c r="AK753" s="18">
        <f>$H753*L753</f>
      </c>
      <c r="AL753" s="18">
        <f>$H753*M753</f>
      </c>
      <c r="AM753" s="14"/>
      <c r="AN753" s="14"/>
      <c r="AO753" s="14"/>
    </row>
    <row x14ac:dyDescent="0.25" r="754" customHeight="1" ht="17.25">
      <c r="A754" s="2" t="s">
        <v>1492</v>
      </c>
      <c r="B754" s="2" t="s">
        <v>1452</v>
      </c>
      <c r="C754" s="2" t="s">
        <v>40</v>
      </c>
      <c r="D754" s="2" t="s">
        <v>41</v>
      </c>
      <c r="E754" s="12" t="s">
        <v>42</v>
      </c>
      <c r="F754" s="2" t="s">
        <v>1493</v>
      </c>
      <c r="G754" s="2" t="s">
        <v>877</v>
      </c>
      <c r="H754" s="13">
        <v>21.4</v>
      </c>
      <c r="I754" s="13">
        <v>2.1</v>
      </c>
      <c r="J754" s="13">
        <v>9.2</v>
      </c>
      <c r="K754" s="14">
        <v>31</v>
      </c>
      <c r="L754" s="13"/>
      <c r="M754" s="13"/>
      <c r="N754" s="15"/>
      <c r="O754" s="16"/>
      <c r="P754" s="13"/>
      <c r="Q754" s="13"/>
      <c r="R754" s="17"/>
      <c r="S754" s="13"/>
      <c r="T754" s="17"/>
      <c r="U754" s="13"/>
      <c r="V754" s="16"/>
      <c r="W754" s="13"/>
      <c r="X754" s="13"/>
      <c r="Y754" s="14"/>
      <c r="Z754" s="2"/>
      <c r="AA754" s="13">
        <f>H754*I754/100</f>
      </c>
      <c r="AB754" s="13">
        <f>H754*J754/100</f>
      </c>
      <c r="AC754" s="15">
        <f>H754*K754</f>
      </c>
      <c r="AD754" s="15">
        <f>H754*M754</f>
      </c>
      <c r="AE754" s="13">
        <f>H754*L754/100</f>
      </c>
      <c r="AF754" s="13">
        <f>AA754+AB754+AE754</f>
      </c>
      <c r="AG754" s="13">
        <f>I754+J754+L754</f>
      </c>
      <c r="AH754" s="18">
        <f>$H754*I754</f>
      </c>
      <c r="AI754" s="18">
        <f>$H754*J754</f>
      </c>
      <c r="AJ754" s="18">
        <f>$H754*K754</f>
      </c>
      <c r="AK754" s="18">
        <f>$H754*L754</f>
      </c>
      <c r="AL754" s="18">
        <f>$H754*M754</f>
      </c>
      <c r="AM754" s="14"/>
      <c r="AN754" s="14"/>
      <c r="AO754" s="14"/>
    </row>
    <row x14ac:dyDescent="0.25" r="755" customHeight="1" ht="17.25">
      <c r="A755" s="2" t="s">
        <v>1494</v>
      </c>
      <c r="B755" s="2" t="s">
        <v>1452</v>
      </c>
      <c r="C755" s="2" t="s">
        <v>189</v>
      </c>
      <c r="D755" s="2" t="s">
        <v>79</v>
      </c>
      <c r="E755" s="2" t="s">
        <v>52</v>
      </c>
      <c r="F755" s="2" t="s">
        <v>1465</v>
      </c>
      <c r="G755" s="2" t="s">
        <v>103</v>
      </c>
      <c r="H755" s="13">
        <f>1.096+0.078</f>
      </c>
      <c r="I755" s="15">
        <f>(2.3*1.096+3.7*0.078)/$H755</f>
      </c>
      <c r="J755" s="15">
        <f>(2.3*1.096+3.7*0.078)/$H755</f>
      </c>
      <c r="K755" s="17">
        <f>(375*1.096+206*0.078)/$H755</f>
      </c>
      <c r="L755" s="13">
        <f>(0.34*1.096+0.46*0.078)/$H755</f>
      </c>
      <c r="M755" s="13"/>
      <c r="N755" s="15"/>
      <c r="O755" s="16"/>
      <c r="P755" s="13"/>
      <c r="Q755" s="13"/>
      <c r="R755" s="17"/>
      <c r="S755" s="13"/>
      <c r="T755" s="17"/>
      <c r="U755" s="13"/>
      <c r="V755" s="16"/>
      <c r="W755" s="13"/>
      <c r="X755" s="13"/>
      <c r="Y755" s="14"/>
      <c r="Z755" s="2"/>
      <c r="AA755" s="13">
        <f>H755*I755/100</f>
      </c>
      <c r="AB755" s="13">
        <f>H755*J755/100</f>
      </c>
      <c r="AC755" s="15">
        <f>H755*K755</f>
      </c>
      <c r="AD755" s="15">
        <f>H755*M755</f>
      </c>
      <c r="AE755" s="13">
        <f>H755*L755/100</f>
      </c>
      <c r="AF755" s="13">
        <f>AA755+AB755+AE755</f>
      </c>
      <c r="AG755" s="13">
        <f>I755+J755+L755</f>
      </c>
      <c r="AH755" s="18">
        <f>$H755*I755</f>
      </c>
      <c r="AI755" s="18">
        <f>$H755*J755</f>
      </c>
      <c r="AJ755" s="18">
        <f>$H755*K755</f>
      </c>
      <c r="AK755" s="18">
        <f>$H755*L755</f>
      </c>
      <c r="AL755" s="18">
        <f>$H755*M755</f>
      </c>
      <c r="AM755" s="14"/>
      <c r="AN755" s="14"/>
      <c r="AO755" s="14"/>
    </row>
    <row x14ac:dyDescent="0.25" r="756" customHeight="1" ht="17.25">
      <c r="A756" s="2" t="s">
        <v>1495</v>
      </c>
      <c r="B756" s="2" t="s">
        <v>1452</v>
      </c>
      <c r="C756" s="2" t="s">
        <v>50</v>
      </c>
      <c r="D756" s="2"/>
      <c r="E756" s="12" t="s">
        <v>42</v>
      </c>
      <c r="F756" s="2" t="s">
        <v>43</v>
      </c>
      <c r="G756" s="2" t="s">
        <v>1453</v>
      </c>
      <c r="H756" s="13">
        <v>80.8</v>
      </c>
      <c r="I756" s="13">
        <v>0.13</v>
      </c>
      <c r="J756" s="13">
        <v>1.75</v>
      </c>
      <c r="K756" s="14"/>
      <c r="L756" s="13">
        <v>1.73</v>
      </c>
      <c r="M756" s="13"/>
      <c r="N756" s="15"/>
      <c r="O756" s="16"/>
      <c r="P756" s="13"/>
      <c r="Q756" s="13"/>
      <c r="R756" s="17"/>
      <c r="S756" s="13"/>
      <c r="T756" s="17"/>
      <c r="U756" s="13"/>
      <c r="V756" s="16"/>
      <c r="W756" s="13">
        <v>0.15</v>
      </c>
      <c r="X756" s="13"/>
      <c r="Y756" s="14"/>
      <c r="Z756" s="2"/>
      <c r="AA756" s="13">
        <f>H756*I756/100</f>
      </c>
      <c r="AB756" s="13">
        <f>H756*J756/100</f>
      </c>
      <c r="AC756" s="15">
        <f>H756*K756</f>
      </c>
      <c r="AD756" s="15">
        <f>H756*M756</f>
      </c>
      <c r="AE756" s="13">
        <f>H756*L756/100</f>
      </c>
      <c r="AF756" s="13">
        <f>AA756+AB756+AE756</f>
      </c>
      <c r="AG756" s="13">
        <f>I756+J756+L756</f>
      </c>
      <c r="AH756" s="18">
        <f>$H756*I756</f>
      </c>
      <c r="AI756" s="18">
        <f>$H756*J756</f>
      </c>
      <c r="AJ756" s="18">
        <f>$H756*K756</f>
      </c>
      <c r="AK756" s="18">
        <f>$H756*L756</f>
      </c>
      <c r="AL756" s="18">
        <f>$H756*M756</f>
      </c>
      <c r="AM756" s="14"/>
      <c r="AN756" s="14"/>
      <c r="AO756" s="14"/>
    </row>
    <row x14ac:dyDescent="0.25" r="757" customHeight="1" ht="17.25">
      <c r="A757" s="2" t="s">
        <v>1496</v>
      </c>
      <c r="B757" s="2" t="s">
        <v>1452</v>
      </c>
      <c r="C757" s="2" t="s">
        <v>50</v>
      </c>
      <c r="D757" s="2"/>
      <c r="E757" s="12" t="s">
        <v>42</v>
      </c>
      <c r="F757" s="2" t="s">
        <v>43</v>
      </c>
      <c r="G757" s="2" t="s">
        <v>1453</v>
      </c>
      <c r="H757" s="13">
        <v>18.2</v>
      </c>
      <c r="I757" s="13"/>
      <c r="J757" s="13">
        <v>0.86</v>
      </c>
      <c r="K757" s="14"/>
      <c r="L757" s="13">
        <v>2.94</v>
      </c>
      <c r="M757" s="13"/>
      <c r="N757" s="15"/>
      <c r="O757" s="16"/>
      <c r="P757" s="13"/>
      <c r="Q757" s="13"/>
      <c r="R757" s="17"/>
      <c r="S757" s="13"/>
      <c r="T757" s="17"/>
      <c r="U757" s="13"/>
      <c r="V757" s="16"/>
      <c r="W757" s="13"/>
      <c r="X757" s="13"/>
      <c r="Y757" s="14"/>
      <c r="Z757" s="2"/>
      <c r="AA757" s="13">
        <f>H757*I757/100</f>
      </c>
      <c r="AB757" s="13">
        <f>H757*J757/100</f>
      </c>
      <c r="AC757" s="15">
        <f>H757*K757</f>
      </c>
      <c r="AD757" s="15">
        <f>H757*M757</f>
      </c>
      <c r="AE757" s="13">
        <f>H757*L757/100</f>
      </c>
      <c r="AF757" s="13">
        <f>AA757+AB757+AE757</f>
      </c>
      <c r="AG757" s="13">
        <f>I757+J757+L757</f>
      </c>
      <c r="AH757" s="18">
        <f>$H757*I757</f>
      </c>
      <c r="AI757" s="18">
        <f>$H757*J757</f>
      </c>
      <c r="AJ757" s="18">
        <f>$H757*K757</f>
      </c>
      <c r="AK757" s="18">
        <f>$H757*L757</f>
      </c>
      <c r="AL757" s="18">
        <f>$H757*M757</f>
      </c>
      <c r="AM757" s="14"/>
      <c r="AN757" s="14"/>
      <c r="AO757" s="14"/>
    </row>
    <row x14ac:dyDescent="0.25" r="758" customHeight="1" ht="17.25">
      <c r="A758" s="2" t="s">
        <v>1497</v>
      </c>
      <c r="B758" s="2" t="s">
        <v>1452</v>
      </c>
      <c r="C758" s="2" t="s">
        <v>50</v>
      </c>
      <c r="D758" s="2"/>
      <c r="E758" s="12" t="s">
        <v>42</v>
      </c>
      <c r="F758" s="2" t="s">
        <v>43</v>
      </c>
      <c r="G758" s="2" t="s">
        <v>1480</v>
      </c>
      <c r="H758" s="14">
        <v>25</v>
      </c>
      <c r="I758" s="13">
        <v>0.13</v>
      </c>
      <c r="J758" s="13">
        <v>2.42</v>
      </c>
      <c r="K758" s="15">
        <f>7*31.1/H758</f>
      </c>
      <c r="L758" s="13"/>
      <c r="M758" s="13"/>
      <c r="N758" s="15"/>
      <c r="O758" s="16"/>
      <c r="P758" s="13"/>
      <c r="Q758" s="13"/>
      <c r="R758" s="17"/>
      <c r="S758" s="13"/>
      <c r="T758" s="17"/>
      <c r="U758" s="13"/>
      <c r="V758" s="16"/>
      <c r="W758" s="13"/>
      <c r="X758" s="13"/>
      <c r="Y758" s="14"/>
      <c r="Z758" s="2"/>
      <c r="AA758" s="13">
        <f>H758*I758/100</f>
      </c>
      <c r="AB758" s="13">
        <f>H758*J758/100</f>
      </c>
      <c r="AC758" s="15">
        <f>H758*K758</f>
      </c>
      <c r="AD758" s="15">
        <f>H758*M758</f>
      </c>
      <c r="AE758" s="13">
        <f>H758*L758/100</f>
      </c>
      <c r="AF758" s="13">
        <f>AA758+AB758+AE758</f>
      </c>
      <c r="AG758" s="13">
        <f>I758+J758+L758</f>
      </c>
      <c r="AH758" s="18">
        <f>$H758*I758</f>
      </c>
      <c r="AI758" s="18">
        <f>$H758*J758</f>
      </c>
      <c r="AJ758" s="18">
        <f>$H758*K758</f>
      </c>
      <c r="AK758" s="18">
        <f>$H758*L758</f>
      </c>
      <c r="AL758" s="18">
        <f>$H758*M758</f>
      </c>
      <c r="AM758" s="14"/>
      <c r="AN758" s="14"/>
      <c r="AO758" s="14"/>
    </row>
    <row x14ac:dyDescent="0.25" r="759" customHeight="1" ht="17.25">
      <c r="A759" s="2" t="s">
        <v>1498</v>
      </c>
      <c r="B759" s="2" t="s">
        <v>1452</v>
      </c>
      <c r="C759" s="2" t="s">
        <v>40</v>
      </c>
      <c r="D759" s="2" t="s">
        <v>41</v>
      </c>
      <c r="E759" s="2" t="s">
        <v>52</v>
      </c>
      <c r="F759" s="2" t="s">
        <v>1499</v>
      </c>
      <c r="G759" s="2" t="s">
        <v>1085</v>
      </c>
      <c r="H759" s="13">
        <v>18.3</v>
      </c>
      <c r="I759" s="15">
        <f>100*0.53/H759</f>
      </c>
      <c r="J759" s="15">
        <f>100*1.9/H759</f>
      </c>
      <c r="K759" s="15"/>
      <c r="L759" s="13"/>
      <c r="M759" s="13"/>
      <c r="N759" s="15"/>
      <c r="O759" s="16"/>
      <c r="P759" s="13"/>
      <c r="Q759" s="13"/>
      <c r="R759" s="17"/>
      <c r="S759" s="13"/>
      <c r="T759" s="17"/>
      <c r="U759" s="13"/>
      <c r="V759" s="16"/>
      <c r="W759" s="13"/>
      <c r="X759" s="13"/>
      <c r="Y759" s="14"/>
      <c r="Z759" s="2"/>
      <c r="AA759" s="13">
        <f>H759*I759/100</f>
      </c>
      <c r="AB759" s="13">
        <f>H759*J759/100</f>
      </c>
      <c r="AC759" s="15">
        <f>H759*K759</f>
      </c>
      <c r="AD759" s="15">
        <f>H759*M759</f>
      </c>
      <c r="AE759" s="13">
        <f>H759*L759/100</f>
      </c>
      <c r="AF759" s="13">
        <f>AA759+AB759+AE759</f>
      </c>
      <c r="AG759" s="13">
        <f>I759+J759+L759</f>
      </c>
      <c r="AH759" s="18">
        <f>$H759*I759</f>
      </c>
      <c r="AI759" s="18">
        <f>$H759*J759</f>
      </c>
      <c r="AJ759" s="18">
        <f>$H759*K759</f>
      </c>
      <c r="AK759" s="18">
        <f>$H759*L759</f>
      </c>
      <c r="AL759" s="18">
        <f>$H759*M759</f>
      </c>
      <c r="AM759" s="14"/>
      <c r="AN759" s="14"/>
      <c r="AO759" s="14"/>
    </row>
    <row x14ac:dyDescent="0.25" r="760" customHeight="1" ht="17.25">
      <c r="A760" s="2" t="s">
        <v>1500</v>
      </c>
      <c r="B760" s="2" t="s">
        <v>1452</v>
      </c>
      <c r="C760" s="2" t="s">
        <v>50</v>
      </c>
      <c r="D760" s="2"/>
      <c r="E760" s="12" t="s">
        <v>42</v>
      </c>
      <c r="F760" s="2" t="s">
        <v>43</v>
      </c>
      <c r="G760" s="2" t="s">
        <v>1453</v>
      </c>
      <c r="H760" s="14">
        <v>110</v>
      </c>
      <c r="I760" s="13">
        <v>0.04</v>
      </c>
      <c r="J760" s="13">
        <v>0.4</v>
      </c>
      <c r="K760" s="14">
        <v>16</v>
      </c>
      <c r="L760" s="13">
        <v>1.6</v>
      </c>
      <c r="M760" s="13">
        <v>0.6</v>
      </c>
      <c r="N760" s="15"/>
      <c r="O760" s="16"/>
      <c r="P760" s="13"/>
      <c r="Q760" s="13"/>
      <c r="R760" s="17"/>
      <c r="S760" s="13"/>
      <c r="T760" s="17"/>
      <c r="U760" s="13"/>
      <c r="V760" s="16"/>
      <c r="W760" s="13"/>
      <c r="X760" s="13"/>
      <c r="Y760" s="14"/>
      <c r="Z760" s="2"/>
      <c r="AA760" s="13">
        <f>H760*I760/100</f>
      </c>
      <c r="AB760" s="13">
        <f>H760*J760/100</f>
      </c>
      <c r="AC760" s="15">
        <f>H760*K760</f>
      </c>
      <c r="AD760" s="15">
        <f>H760*M760</f>
      </c>
      <c r="AE760" s="13">
        <f>H760*L760/100</f>
      </c>
      <c r="AF760" s="13">
        <f>AA760+AB760+AE760</f>
      </c>
      <c r="AG760" s="13">
        <f>I760+J760+L760</f>
      </c>
      <c r="AH760" s="18">
        <f>$H760*I760</f>
      </c>
      <c r="AI760" s="18">
        <f>$H760*J760</f>
      </c>
      <c r="AJ760" s="18">
        <f>$H760*K760</f>
      </c>
      <c r="AK760" s="18">
        <f>$H760*L760</f>
      </c>
      <c r="AL760" s="18">
        <f>$H760*M760</f>
      </c>
      <c r="AM760" s="14"/>
      <c r="AN760" s="14"/>
      <c r="AO760" s="14"/>
    </row>
    <row x14ac:dyDescent="0.25" r="761" customHeight="1" ht="17.25">
      <c r="A761" s="2" t="s">
        <v>1501</v>
      </c>
      <c r="B761" s="2" t="s">
        <v>1452</v>
      </c>
      <c r="C761" s="2" t="s">
        <v>50</v>
      </c>
      <c r="D761" s="2"/>
      <c r="E761" s="12" t="s">
        <v>42</v>
      </c>
      <c r="F761" s="2" t="s">
        <v>43</v>
      </c>
      <c r="G761" s="2" t="s">
        <v>1453</v>
      </c>
      <c r="H761" s="13">
        <v>9.1</v>
      </c>
      <c r="I761" s="13"/>
      <c r="J761" s="13">
        <v>4.24</v>
      </c>
      <c r="K761" s="14"/>
      <c r="L761" s="13">
        <v>1.58</v>
      </c>
      <c r="M761" s="13"/>
      <c r="N761" s="15"/>
      <c r="O761" s="16"/>
      <c r="P761" s="13"/>
      <c r="Q761" s="13"/>
      <c r="R761" s="17"/>
      <c r="S761" s="13"/>
      <c r="T761" s="17"/>
      <c r="U761" s="13"/>
      <c r="V761" s="16"/>
      <c r="W761" s="13"/>
      <c r="X761" s="13"/>
      <c r="Y761" s="14"/>
      <c r="Z761" s="2"/>
      <c r="AA761" s="13">
        <f>H761*I761/100</f>
      </c>
      <c r="AB761" s="13">
        <f>H761*J761/100</f>
      </c>
      <c r="AC761" s="15">
        <f>H761*K761</f>
      </c>
      <c r="AD761" s="15">
        <f>H761*M761</f>
      </c>
      <c r="AE761" s="13">
        <f>H761*L761/100</f>
      </c>
      <c r="AF761" s="13">
        <f>AA761+AB761+AE761</f>
      </c>
      <c r="AG761" s="13">
        <f>I761+J761+L761</f>
      </c>
      <c r="AH761" s="18">
        <f>$H761*I761</f>
      </c>
      <c r="AI761" s="18">
        <f>$H761*J761</f>
      </c>
      <c r="AJ761" s="18">
        <f>$H761*K761</f>
      </c>
      <c r="AK761" s="18">
        <f>$H761*L761</f>
      </c>
      <c r="AL761" s="18">
        <f>$H761*M761</f>
      </c>
      <c r="AM761" s="14"/>
      <c r="AN761" s="14"/>
      <c r="AO761" s="14"/>
    </row>
    <row x14ac:dyDescent="0.25" r="762" customHeight="1" ht="17.25">
      <c r="A762" s="2" t="s">
        <v>1502</v>
      </c>
      <c r="B762" s="2" t="s">
        <v>1452</v>
      </c>
      <c r="C762" s="2" t="s">
        <v>50</v>
      </c>
      <c r="D762" s="2"/>
      <c r="E762" s="2" t="s">
        <v>52</v>
      </c>
      <c r="F762" s="2" t="s">
        <v>885</v>
      </c>
      <c r="G762" s="2" t="s">
        <v>1421</v>
      </c>
      <c r="H762" s="13">
        <v>12.92</v>
      </c>
      <c r="I762" s="15">
        <f>100*0.2/$H762</f>
      </c>
      <c r="J762" s="15">
        <f>100*1.29/$H762</f>
      </c>
      <c r="K762" s="13">
        <v>52.24</v>
      </c>
      <c r="L762" s="13">
        <f>100*0.0823/$H762</f>
      </c>
      <c r="M762" s="13">
        <v>1.17</v>
      </c>
      <c r="N762" s="15"/>
      <c r="O762" s="16"/>
      <c r="P762" s="13"/>
      <c r="Q762" s="13"/>
      <c r="R762" s="17"/>
      <c r="S762" s="13"/>
      <c r="T762" s="17"/>
      <c r="U762" s="13"/>
      <c r="V762" s="16"/>
      <c r="W762" s="13"/>
      <c r="X762" s="13"/>
      <c r="Y762" s="14"/>
      <c r="Z762" s="2"/>
      <c r="AA762" s="13">
        <f>H762*I762/100</f>
      </c>
      <c r="AB762" s="13">
        <f>H762*J762/100</f>
      </c>
      <c r="AC762" s="15">
        <f>H762*K762</f>
      </c>
      <c r="AD762" s="15">
        <f>H762*M762</f>
      </c>
      <c r="AE762" s="13">
        <f>H762*L762/100</f>
      </c>
      <c r="AF762" s="13">
        <f>AA762+AB762+AE762</f>
      </c>
      <c r="AG762" s="13">
        <f>I762+J762+L762</f>
      </c>
      <c r="AH762" s="18">
        <f>$H762*I762</f>
      </c>
      <c r="AI762" s="18">
        <f>$H762*J762</f>
      </c>
      <c r="AJ762" s="18">
        <f>$H762*K762</f>
      </c>
      <c r="AK762" s="18">
        <f>$H762*L762</f>
      </c>
      <c r="AL762" s="18">
        <f>$H762*M762</f>
      </c>
      <c r="AM762" s="14"/>
      <c r="AN762" s="14"/>
      <c r="AO762" s="14"/>
    </row>
    <row x14ac:dyDescent="0.25" r="763" customHeight="1" ht="17.25">
      <c r="A763" s="2" t="s">
        <v>1503</v>
      </c>
      <c r="B763" s="2" t="s">
        <v>1452</v>
      </c>
      <c r="C763" s="2" t="s">
        <v>50</v>
      </c>
      <c r="D763" s="2"/>
      <c r="E763" s="12" t="s">
        <v>42</v>
      </c>
      <c r="F763" s="2" t="s">
        <v>43</v>
      </c>
      <c r="G763" s="2" t="s">
        <v>1453</v>
      </c>
      <c r="H763" s="14">
        <v>113</v>
      </c>
      <c r="I763" s="13"/>
      <c r="J763" s="13">
        <v>3.73</v>
      </c>
      <c r="K763" s="14">
        <v>18</v>
      </c>
      <c r="L763" s="13">
        <v>1.08</v>
      </c>
      <c r="M763" s="13">
        <v>1.26</v>
      </c>
      <c r="N763" s="15"/>
      <c r="O763" s="16"/>
      <c r="P763" s="13"/>
      <c r="Q763" s="13"/>
      <c r="R763" s="17"/>
      <c r="S763" s="13"/>
      <c r="T763" s="17"/>
      <c r="U763" s="13"/>
      <c r="V763" s="16"/>
      <c r="W763" s="13"/>
      <c r="X763" s="13"/>
      <c r="Y763" s="14"/>
      <c r="Z763" s="2"/>
      <c r="AA763" s="13">
        <f>H763*I763/100</f>
      </c>
      <c r="AB763" s="13">
        <f>H763*J763/100</f>
      </c>
      <c r="AC763" s="15">
        <f>H763*K763</f>
      </c>
      <c r="AD763" s="15">
        <f>H763*M763</f>
      </c>
      <c r="AE763" s="13">
        <f>H763*L763/100</f>
      </c>
      <c r="AF763" s="13">
        <f>AA763+AB763+AE763</f>
      </c>
      <c r="AG763" s="13">
        <f>I763+J763+L763</f>
      </c>
      <c r="AH763" s="18">
        <f>$H763*I763</f>
      </c>
      <c r="AI763" s="18">
        <f>$H763*J763</f>
      </c>
      <c r="AJ763" s="18">
        <f>$H763*K763</f>
      </c>
      <c r="AK763" s="18">
        <f>$H763*L763</f>
      </c>
      <c r="AL763" s="18">
        <f>$H763*M763</f>
      </c>
      <c r="AM763" s="14"/>
      <c r="AN763" s="14"/>
      <c r="AO763" s="14"/>
    </row>
    <row x14ac:dyDescent="0.25" r="764" customHeight="1" ht="17.25">
      <c r="A764" s="2" t="s">
        <v>1504</v>
      </c>
      <c r="B764" s="2" t="s">
        <v>1452</v>
      </c>
      <c r="C764" s="2" t="s">
        <v>40</v>
      </c>
      <c r="D764" s="2" t="s">
        <v>41</v>
      </c>
      <c r="E764" s="12" t="s">
        <v>42</v>
      </c>
      <c r="F764" s="2" t="s">
        <v>43</v>
      </c>
      <c r="G764" s="2" t="s">
        <v>46</v>
      </c>
      <c r="H764" s="14">
        <v>23</v>
      </c>
      <c r="I764" s="13">
        <v>2.85</v>
      </c>
      <c r="J764" s="13">
        <v>6.74</v>
      </c>
      <c r="K764" s="14"/>
      <c r="L764" s="13"/>
      <c r="M764" s="13"/>
      <c r="N764" s="15"/>
      <c r="O764" s="16"/>
      <c r="P764" s="13"/>
      <c r="Q764" s="13"/>
      <c r="R764" s="17"/>
      <c r="S764" s="13"/>
      <c r="T764" s="17"/>
      <c r="U764" s="13"/>
      <c r="V764" s="16"/>
      <c r="W764" s="13"/>
      <c r="X764" s="13"/>
      <c r="Y764" s="14"/>
      <c r="Z764" s="2"/>
      <c r="AA764" s="13">
        <f>H764*I764/100</f>
      </c>
      <c r="AB764" s="13">
        <f>H764*J764/100</f>
      </c>
      <c r="AC764" s="15">
        <f>H764*K764</f>
      </c>
      <c r="AD764" s="15">
        <f>H764*M764</f>
      </c>
      <c r="AE764" s="13">
        <f>H764*L764/100</f>
      </c>
      <c r="AF764" s="13">
        <f>AA764+AB764+AE764</f>
      </c>
      <c r="AG764" s="13">
        <f>I764+J764+L764</f>
      </c>
      <c r="AH764" s="18">
        <f>$H764*I764</f>
      </c>
      <c r="AI764" s="18">
        <f>$H764*J764</f>
      </c>
      <c r="AJ764" s="18">
        <f>$H764*K764</f>
      </c>
      <c r="AK764" s="18">
        <f>$H764*L764</f>
      </c>
      <c r="AL764" s="18">
        <f>$H764*M764</f>
      </c>
      <c r="AM764" s="14"/>
      <c r="AN764" s="14"/>
      <c r="AO764" s="14"/>
    </row>
    <row x14ac:dyDescent="0.25" r="765" customHeight="1" ht="17.25">
      <c r="A765" s="2" t="s">
        <v>1505</v>
      </c>
      <c r="B765" s="2" t="s">
        <v>1452</v>
      </c>
      <c r="C765" s="2" t="s">
        <v>50</v>
      </c>
      <c r="D765" s="2"/>
      <c r="E765" s="12" t="s">
        <v>42</v>
      </c>
      <c r="F765" s="2" t="s">
        <v>43</v>
      </c>
      <c r="G765" s="2" t="s">
        <v>1453</v>
      </c>
      <c r="H765" s="14">
        <f>27+42</f>
      </c>
      <c r="I765" s="13">
        <f>(0.1*27+0*42)/$H765</f>
      </c>
      <c r="J765" s="15">
        <f>(0.23*27+4.55*42)/$H765</f>
      </c>
      <c r="K765" s="14">
        <v>35</v>
      </c>
      <c r="L765" s="15">
        <f>(2.13*27+0.91*42)/$H765</f>
      </c>
      <c r="M765" s="13">
        <v>1.8</v>
      </c>
      <c r="N765" s="15"/>
      <c r="O765" s="16"/>
      <c r="P765" s="13"/>
      <c r="Q765" s="13"/>
      <c r="R765" s="17"/>
      <c r="S765" s="13"/>
      <c r="T765" s="17"/>
      <c r="U765" s="13"/>
      <c r="V765" s="16"/>
      <c r="W765" s="13"/>
      <c r="X765" s="13"/>
      <c r="Y765" s="14"/>
      <c r="Z765" s="2"/>
      <c r="AA765" s="13">
        <f>H765*I765/100</f>
      </c>
      <c r="AB765" s="13">
        <f>H765*J765/100</f>
      </c>
      <c r="AC765" s="15">
        <f>H765*K765</f>
      </c>
      <c r="AD765" s="15">
        <f>H765*M765</f>
      </c>
      <c r="AE765" s="13">
        <f>H765*L765/100</f>
      </c>
      <c r="AF765" s="13">
        <f>AA765+AB765+AE765</f>
      </c>
      <c r="AG765" s="13">
        <f>I765+J765+L765</f>
      </c>
      <c r="AH765" s="18">
        <f>$H765*I765</f>
      </c>
      <c r="AI765" s="18">
        <f>$H765*J765</f>
      </c>
      <c r="AJ765" s="18">
        <f>$H765*K765</f>
      </c>
      <c r="AK765" s="18">
        <f>$H765*L765</f>
      </c>
      <c r="AL765" s="18">
        <f>$H765*M765</f>
      </c>
      <c r="AM765" s="14"/>
      <c r="AN765" s="14"/>
      <c r="AO765" s="14"/>
    </row>
    <row x14ac:dyDescent="0.25" r="766" customHeight="1" ht="17.25">
      <c r="A766" s="2" t="s">
        <v>1506</v>
      </c>
      <c r="B766" s="2" t="s">
        <v>1452</v>
      </c>
      <c r="C766" s="2" t="s">
        <v>50</v>
      </c>
      <c r="D766" s="2"/>
      <c r="E766" s="12" t="s">
        <v>42</v>
      </c>
      <c r="F766" s="2" t="s">
        <v>43</v>
      </c>
      <c r="G766" s="2" t="s">
        <v>1453</v>
      </c>
      <c r="H766" s="13">
        <v>2.3</v>
      </c>
      <c r="I766" s="13"/>
      <c r="J766" s="13">
        <v>5.56</v>
      </c>
      <c r="K766" s="13">
        <v>33.5</v>
      </c>
      <c r="L766" s="13">
        <v>2.56</v>
      </c>
      <c r="M766" s="13">
        <v>3.3</v>
      </c>
      <c r="N766" s="15"/>
      <c r="O766" s="16"/>
      <c r="P766" s="13"/>
      <c r="Q766" s="13"/>
      <c r="R766" s="17"/>
      <c r="S766" s="13"/>
      <c r="T766" s="17"/>
      <c r="U766" s="13"/>
      <c r="V766" s="16"/>
      <c r="W766" s="13"/>
      <c r="X766" s="13"/>
      <c r="Y766" s="14"/>
      <c r="Z766" s="2"/>
      <c r="AA766" s="13">
        <f>H766*I766/100</f>
      </c>
      <c r="AB766" s="13">
        <f>H766*J766/100</f>
      </c>
      <c r="AC766" s="15">
        <f>H766*K766</f>
      </c>
      <c r="AD766" s="15">
        <f>H766*M766</f>
      </c>
      <c r="AE766" s="13">
        <f>H766*L766/100</f>
      </c>
      <c r="AF766" s="13">
        <f>AA766+AB766+AE766</f>
      </c>
      <c r="AG766" s="13">
        <f>I766+J766+L766</f>
      </c>
      <c r="AH766" s="18">
        <f>$H766*I766</f>
      </c>
      <c r="AI766" s="18">
        <f>$H766*J766</f>
      </c>
      <c r="AJ766" s="18">
        <f>$H766*K766</f>
      </c>
      <c r="AK766" s="18">
        <f>$H766*L766</f>
      </c>
      <c r="AL766" s="18">
        <f>$H766*M766</f>
      </c>
      <c r="AM766" s="14"/>
      <c r="AN766" s="14"/>
      <c r="AO766" s="14"/>
    </row>
    <row x14ac:dyDescent="0.25" r="767" customHeight="1" ht="17.25">
      <c r="A767" s="2" t="s">
        <v>1507</v>
      </c>
      <c r="B767" s="2" t="s">
        <v>1452</v>
      </c>
      <c r="C767" s="2" t="s">
        <v>50</v>
      </c>
      <c r="D767" s="2"/>
      <c r="E767" s="12" t="s">
        <v>42</v>
      </c>
      <c r="F767" s="2" t="s">
        <v>43</v>
      </c>
      <c r="G767" s="2" t="s">
        <v>1453</v>
      </c>
      <c r="H767" s="14">
        <v>106</v>
      </c>
      <c r="I767" s="13"/>
      <c r="J767" s="14">
        <v>1</v>
      </c>
      <c r="K767" s="14"/>
      <c r="L767" s="13">
        <v>1.5</v>
      </c>
      <c r="M767" s="13"/>
      <c r="N767" s="15"/>
      <c r="O767" s="16"/>
      <c r="P767" s="13"/>
      <c r="Q767" s="13"/>
      <c r="R767" s="17"/>
      <c r="S767" s="13"/>
      <c r="T767" s="17"/>
      <c r="U767" s="13"/>
      <c r="V767" s="16"/>
      <c r="W767" s="13"/>
      <c r="X767" s="13"/>
      <c r="Y767" s="14"/>
      <c r="Z767" s="2"/>
      <c r="AA767" s="13">
        <f>H767*I767/100</f>
      </c>
      <c r="AB767" s="13">
        <f>H767*J767/100</f>
      </c>
      <c r="AC767" s="15">
        <f>H767*K767</f>
      </c>
      <c r="AD767" s="15">
        <f>H767*M767</f>
      </c>
      <c r="AE767" s="13">
        <f>H767*L767/100</f>
      </c>
      <c r="AF767" s="13">
        <f>AA767+AB767+AE767</f>
      </c>
      <c r="AG767" s="13">
        <f>I767+J767+L767</f>
      </c>
      <c r="AH767" s="18">
        <f>$H767*I767</f>
      </c>
      <c r="AI767" s="18">
        <f>$H767*J767</f>
      </c>
      <c r="AJ767" s="18">
        <f>$H767*K767</f>
      </c>
      <c r="AK767" s="18">
        <f>$H767*L767</f>
      </c>
      <c r="AL767" s="18">
        <f>$H767*M767</f>
      </c>
      <c r="AM767" s="14"/>
      <c r="AN767" s="14"/>
      <c r="AO767" s="14"/>
    </row>
    <row x14ac:dyDescent="0.25" r="768" customHeight="1" ht="17.25">
      <c r="A768" s="2" t="s">
        <v>1508</v>
      </c>
      <c r="B768" s="2" t="s">
        <v>1452</v>
      </c>
      <c r="C768" s="2" t="s">
        <v>50</v>
      </c>
      <c r="D768" s="2"/>
      <c r="E768" s="12" t="s">
        <v>42</v>
      </c>
      <c r="F768" s="2" t="s">
        <v>43</v>
      </c>
      <c r="G768" s="2" t="s">
        <v>1453</v>
      </c>
      <c r="H768" s="13">
        <v>12.5</v>
      </c>
      <c r="I768" s="13"/>
      <c r="J768" s="13">
        <v>0.87</v>
      </c>
      <c r="K768" s="14">
        <v>7</v>
      </c>
      <c r="L768" s="13">
        <v>1.21</v>
      </c>
      <c r="M768" s="13">
        <v>0.1</v>
      </c>
      <c r="N768" s="15"/>
      <c r="O768" s="16"/>
      <c r="P768" s="13"/>
      <c r="Q768" s="13"/>
      <c r="R768" s="17"/>
      <c r="S768" s="13"/>
      <c r="T768" s="17"/>
      <c r="U768" s="13"/>
      <c r="V768" s="16"/>
      <c r="W768" s="13"/>
      <c r="X768" s="13"/>
      <c r="Y768" s="14"/>
      <c r="Z768" s="2"/>
      <c r="AA768" s="13">
        <f>H768*I768/100</f>
      </c>
      <c r="AB768" s="13">
        <f>H768*J768/100</f>
      </c>
      <c r="AC768" s="15">
        <f>H768*K768</f>
      </c>
      <c r="AD768" s="15">
        <f>H768*M768</f>
      </c>
      <c r="AE768" s="13">
        <f>H768*L768/100</f>
      </c>
      <c r="AF768" s="13">
        <f>AA768+AB768+AE768</f>
      </c>
      <c r="AG768" s="13">
        <f>I768+J768+L768</f>
      </c>
      <c r="AH768" s="18">
        <f>$H768*I768</f>
      </c>
      <c r="AI768" s="18">
        <f>$H768*J768</f>
      </c>
      <c r="AJ768" s="18">
        <f>$H768*K768</f>
      </c>
      <c r="AK768" s="18">
        <f>$H768*L768</f>
      </c>
      <c r="AL768" s="18">
        <f>$H768*M768</f>
      </c>
      <c r="AM768" s="14"/>
      <c r="AN768" s="14"/>
      <c r="AO768" s="14"/>
    </row>
    <row x14ac:dyDescent="0.25" r="769" customHeight="1" ht="17.25">
      <c r="A769" s="2" t="s">
        <v>1509</v>
      </c>
      <c r="B769" s="2" t="s">
        <v>1510</v>
      </c>
      <c r="C769" s="2" t="s">
        <v>50</v>
      </c>
      <c r="D769" s="2"/>
      <c r="E769" s="2" t="s">
        <v>52</v>
      </c>
      <c r="F769" s="2" t="s">
        <v>1511</v>
      </c>
      <c r="G769" s="2" t="s">
        <v>1512</v>
      </c>
      <c r="H769" s="13">
        <f>9.433+0.603</f>
      </c>
      <c r="I769" s="13"/>
      <c r="J769" s="13">
        <f>(4.23*9.433+7.42*0.603)/$H769</f>
      </c>
      <c r="K769" s="15">
        <f>(31.24*9.433+56.2*0.603)/$H769</f>
      </c>
      <c r="L769" s="13">
        <f>(1.21*9.433+1*0.603)/$H769</f>
      </c>
      <c r="M769" s="13">
        <f>(0.97*9.433+1.18*0.603)/$H769</f>
      </c>
      <c r="N769" s="15"/>
      <c r="O769" s="16"/>
      <c r="P769" s="13"/>
      <c r="Q769" s="13"/>
      <c r="R769" s="17"/>
      <c r="S769" s="13"/>
      <c r="T769" s="17"/>
      <c r="U769" s="13"/>
      <c r="V769" s="16"/>
      <c r="W769" s="13"/>
      <c r="X769" s="13"/>
      <c r="Y769" s="14"/>
      <c r="Z769" s="2"/>
      <c r="AA769" s="13">
        <f>H769*I769/100</f>
      </c>
      <c r="AB769" s="13">
        <f>H769*J769/100</f>
      </c>
      <c r="AC769" s="15">
        <f>H769*K769</f>
      </c>
      <c r="AD769" s="15">
        <f>H769*M769</f>
      </c>
      <c r="AE769" s="13">
        <f>H769*L769/100</f>
      </c>
      <c r="AF769" s="13">
        <f>AA769+AB769+AE769</f>
      </c>
      <c r="AG769" s="13">
        <f>I769+J769+L769</f>
      </c>
      <c r="AH769" s="18">
        <f>$H769*I769</f>
      </c>
      <c r="AI769" s="18">
        <f>$H769*J769</f>
      </c>
      <c r="AJ769" s="18">
        <f>$H769*K769</f>
      </c>
      <c r="AK769" s="18">
        <f>$H769*L769</f>
      </c>
      <c r="AL769" s="18">
        <f>$H769*M769</f>
      </c>
      <c r="AM769" s="14"/>
      <c r="AN769" s="14"/>
      <c r="AO769" s="14"/>
    </row>
    <row x14ac:dyDescent="0.25" r="770" customHeight="1" ht="17.25">
      <c r="A770" s="2" t="s">
        <v>1513</v>
      </c>
      <c r="B770" s="2" t="s">
        <v>1510</v>
      </c>
      <c r="C770" s="2" t="s">
        <v>40</v>
      </c>
      <c r="D770" s="2" t="s">
        <v>41</v>
      </c>
      <c r="E770" s="12" t="s">
        <v>42</v>
      </c>
      <c r="F770" s="2" t="s">
        <v>43</v>
      </c>
      <c r="G770" s="2" t="s">
        <v>46</v>
      </c>
      <c r="H770" s="13">
        <v>1.2</v>
      </c>
      <c r="I770" s="13">
        <v>1.4</v>
      </c>
      <c r="J770" s="13">
        <v>5.6</v>
      </c>
      <c r="K770" s="15"/>
      <c r="L770" s="13"/>
      <c r="M770" s="13"/>
      <c r="N770" s="15"/>
      <c r="O770" s="16"/>
      <c r="P770" s="13"/>
      <c r="Q770" s="13"/>
      <c r="R770" s="17"/>
      <c r="S770" s="13"/>
      <c r="T770" s="17"/>
      <c r="U770" s="13"/>
      <c r="V770" s="16"/>
      <c r="W770" s="13"/>
      <c r="X770" s="13"/>
      <c r="Y770" s="14"/>
      <c r="Z770" s="2"/>
      <c r="AA770" s="13">
        <f>H770*I770/100</f>
      </c>
      <c r="AB770" s="13">
        <f>H770*J770/100</f>
      </c>
      <c r="AC770" s="15">
        <f>H770*K770</f>
      </c>
      <c r="AD770" s="15">
        <f>H770*M770</f>
      </c>
      <c r="AE770" s="13">
        <f>H770*L770/100</f>
      </c>
      <c r="AF770" s="13">
        <f>AA770+AB770+AE770</f>
      </c>
      <c r="AG770" s="13">
        <f>I770+J770+L770</f>
      </c>
      <c r="AH770" s="18">
        <f>$H770*I770</f>
      </c>
      <c r="AI770" s="18">
        <f>$H770*J770</f>
      </c>
      <c r="AJ770" s="18">
        <f>$H770*K770</f>
      </c>
      <c r="AK770" s="18">
        <f>$H770*L770</f>
      </c>
      <c r="AL770" s="18">
        <f>$H770*M770</f>
      </c>
      <c r="AM770" s="14"/>
      <c r="AN770" s="14"/>
      <c r="AO770" s="14"/>
    </row>
    <row x14ac:dyDescent="0.25" r="771" customHeight="1" ht="17.25">
      <c r="A771" s="2" t="s">
        <v>1514</v>
      </c>
      <c r="B771" s="2" t="s">
        <v>1510</v>
      </c>
      <c r="C771" s="2" t="s">
        <v>50</v>
      </c>
      <c r="D771" s="2"/>
      <c r="E771" s="2" t="s">
        <v>52</v>
      </c>
      <c r="F771" s="2" t="s">
        <v>1515</v>
      </c>
      <c r="G771" s="2" t="s">
        <v>1516</v>
      </c>
      <c r="H771" s="13">
        <f>0.9+1.8+3.7+10.9</f>
      </c>
      <c r="I771" s="13"/>
      <c r="J771" s="15">
        <f>(1.4*0.9+1.4*1.8+1.2*3.7+2.9*10.9)/$H771</f>
      </c>
      <c r="K771" s="17">
        <f>(31*0.9+30*1.8+26*3.7+24*10.9)/$H771</f>
      </c>
      <c r="L771" s="15">
        <f>(1.9*0.9+1.8*1.8+1.7*3.7+0.4*10.9)/$H771</f>
      </c>
      <c r="M771" s="15">
        <f>(0.5*0.9+0.5*1.8+0.4*3.7+0.3*10.9)/$H771</f>
      </c>
      <c r="N771" s="15"/>
      <c r="O771" s="16"/>
      <c r="P771" s="13"/>
      <c r="Q771" s="13"/>
      <c r="R771" s="17"/>
      <c r="S771" s="13"/>
      <c r="T771" s="17"/>
      <c r="U771" s="13"/>
      <c r="V771" s="16"/>
      <c r="W771" s="13"/>
      <c r="X771" s="13"/>
      <c r="Y771" s="14"/>
      <c r="Z771" s="2"/>
      <c r="AA771" s="13">
        <f>H771*I771/100</f>
      </c>
      <c r="AB771" s="13">
        <f>H771*J771/100</f>
      </c>
      <c r="AC771" s="15">
        <f>H771*K771</f>
      </c>
      <c r="AD771" s="15">
        <f>H771*M771</f>
      </c>
      <c r="AE771" s="13">
        <f>H771*L771/100</f>
      </c>
      <c r="AF771" s="13">
        <f>AA771+AB771+AE771</f>
      </c>
      <c r="AG771" s="13">
        <f>I771+J771+L771</f>
      </c>
      <c r="AH771" s="18">
        <f>$H771*I771</f>
      </c>
      <c r="AI771" s="18">
        <f>$H771*J771</f>
      </c>
      <c r="AJ771" s="18">
        <f>$H771*K771</f>
      </c>
      <c r="AK771" s="18">
        <f>$H771*L771</f>
      </c>
      <c r="AL771" s="18">
        <f>$H771*M771</f>
      </c>
      <c r="AM771" s="14"/>
      <c r="AN771" s="14"/>
      <c r="AO771" s="14"/>
    </row>
    <row x14ac:dyDescent="0.25" r="772" customHeight="1" ht="17.25">
      <c r="A772" s="2" t="s">
        <v>1517</v>
      </c>
      <c r="B772" s="2" t="s">
        <v>1510</v>
      </c>
      <c r="C772" s="2" t="s">
        <v>50</v>
      </c>
      <c r="D772" s="2"/>
      <c r="E772" s="2" t="s">
        <v>52</v>
      </c>
      <c r="F772" s="2" t="s">
        <v>1518</v>
      </c>
      <c r="G772" s="2" t="s">
        <v>108</v>
      </c>
      <c r="H772" s="13">
        <f>25.32+4.32</f>
      </c>
      <c r="I772" s="13"/>
      <c r="J772" s="13">
        <f>(4.03*25.32+2.9*4.32)/$H772</f>
      </c>
      <c r="K772" s="14"/>
      <c r="L772" s="13">
        <f>(0.17*25.32+0.03*4.32)/$H772</f>
      </c>
      <c r="M772" s="13"/>
      <c r="N772" s="15"/>
      <c r="O772" s="16"/>
      <c r="P772" s="13"/>
      <c r="Q772" s="13"/>
      <c r="R772" s="17"/>
      <c r="S772" s="13"/>
      <c r="T772" s="17"/>
      <c r="U772" s="13"/>
      <c r="V772" s="16"/>
      <c r="W772" s="13"/>
      <c r="X772" s="13"/>
      <c r="Y772" s="14"/>
      <c r="Z772" s="2"/>
      <c r="AA772" s="13">
        <f>H772*I772/100</f>
      </c>
      <c r="AB772" s="13">
        <f>H772*J772/100</f>
      </c>
      <c r="AC772" s="15">
        <f>H772*K772</f>
      </c>
      <c r="AD772" s="15">
        <f>H772*M772</f>
      </c>
      <c r="AE772" s="13">
        <f>H772*L772/100</f>
      </c>
      <c r="AF772" s="13">
        <f>AA772+AB772+AE772</f>
      </c>
      <c r="AG772" s="13">
        <f>I772+J772+L772</f>
      </c>
      <c r="AH772" s="18">
        <f>$H772*I772</f>
      </c>
      <c r="AI772" s="18">
        <f>$H772*J772</f>
      </c>
      <c r="AJ772" s="18">
        <f>$H772*K772</f>
      </c>
      <c r="AK772" s="18">
        <f>$H772*L772</f>
      </c>
      <c r="AL772" s="18">
        <f>$H772*M772</f>
      </c>
      <c r="AM772" s="14"/>
      <c r="AN772" s="14"/>
      <c r="AO772" s="14"/>
    </row>
    <row x14ac:dyDescent="0.25" r="773" customHeight="1" ht="17.25">
      <c r="A773" s="2" t="s">
        <v>1519</v>
      </c>
      <c r="B773" s="2" t="s">
        <v>1520</v>
      </c>
      <c r="C773" s="2" t="s">
        <v>50</v>
      </c>
      <c r="D773" s="2"/>
      <c r="E773" s="12" t="s">
        <v>42</v>
      </c>
      <c r="F773" s="2" t="s">
        <v>1521</v>
      </c>
      <c r="G773" s="2" t="s">
        <v>1522</v>
      </c>
      <c r="H773" s="13">
        <v>7.7</v>
      </c>
      <c r="I773" s="15">
        <v>1</v>
      </c>
      <c r="J773" s="13">
        <v>2.6</v>
      </c>
      <c r="K773" s="14"/>
      <c r="L773" s="13">
        <v>1.2</v>
      </c>
      <c r="M773" s="13"/>
      <c r="N773" s="15"/>
      <c r="O773" s="16"/>
      <c r="P773" s="13"/>
      <c r="Q773" s="13"/>
      <c r="R773" s="17"/>
      <c r="S773" s="13"/>
      <c r="T773" s="17"/>
      <c r="U773" s="13"/>
      <c r="V773" s="16"/>
      <c r="W773" s="13"/>
      <c r="X773" s="13"/>
      <c r="Y773" s="14"/>
      <c r="Z773" s="2"/>
      <c r="AA773" s="13">
        <f>H773*I773/100</f>
      </c>
      <c r="AB773" s="13">
        <f>H773*J773/100</f>
      </c>
      <c r="AC773" s="15">
        <f>H773*K773</f>
      </c>
      <c r="AD773" s="15">
        <f>H773*M773</f>
      </c>
      <c r="AE773" s="13">
        <f>H773*L773/100</f>
      </c>
      <c r="AF773" s="22">
        <f>AA773+AB773+AE773</f>
      </c>
      <c r="AG773" s="13">
        <f>I773+J773+L773</f>
      </c>
      <c r="AH773" s="18">
        <f>$H773*I773</f>
      </c>
      <c r="AI773" s="18">
        <f>$H773*J773</f>
      </c>
      <c r="AJ773" s="18">
        <f>$H773*K773</f>
      </c>
      <c r="AK773" s="18">
        <f>$H773*L773</f>
      </c>
      <c r="AL773" s="18">
        <f>$H773*M773</f>
      </c>
      <c r="AM773" s="14"/>
      <c r="AN773" s="14"/>
      <c r="AO773" s="14"/>
    </row>
    <row x14ac:dyDescent="0.25" r="774" customHeight="1" ht="17.25">
      <c r="A774" s="2" t="s">
        <v>1523</v>
      </c>
      <c r="B774" s="2" t="s">
        <v>1520</v>
      </c>
      <c r="C774" s="2" t="s">
        <v>56</v>
      </c>
      <c r="D774" s="2"/>
      <c r="E774" s="12" t="s">
        <v>42</v>
      </c>
      <c r="F774" s="2" t="s">
        <v>1524</v>
      </c>
      <c r="G774" s="2" t="s">
        <v>431</v>
      </c>
      <c r="H774" s="13">
        <v>6.5</v>
      </c>
      <c r="I774" s="13">
        <v>4.07</v>
      </c>
      <c r="J774" s="13">
        <v>2.12</v>
      </c>
      <c r="K774" s="14">
        <v>130</v>
      </c>
      <c r="L774" s="13">
        <v>0.26</v>
      </c>
      <c r="M774" s="13"/>
      <c r="N774" s="15"/>
      <c r="O774" s="16"/>
      <c r="P774" s="13"/>
      <c r="Q774" s="13"/>
      <c r="R774" s="17"/>
      <c r="S774" s="13"/>
      <c r="T774" s="17"/>
      <c r="U774" s="13"/>
      <c r="V774" s="16"/>
      <c r="W774" s="13"/>
      <c r="X774" s="13"/>
      <c r="Y774" s="14"/>
      <c r="Z774" s="2"/>
      <c r="AA774" s="13">
        <f>H774*I774/100</f>
      </c>
      <c r="AB774" s="13">
        <f>H774*J774/100</f>
      </c>
      <c r="AC774" s="15">
        <f>H774*K774</f>
      </c>
      <c r="AD774" s="15">
        <f>H774*M774</f>
      </c>
      <c r="AE774" s="13">
        <f>H774*L774/100</f>
      </c>
      <c r="AF774" s="22">
        <f>AA774+AB774+AE774</f>
      </c>
      <c r="AG774" s="13">
        <f>I774+J774+L774</f>
      </c>
      <c r="AH774" s="18">
        <f>$H774*I774</f>
      </c>
      <c r="AI774" s="18">
        <f>$H774*J774</f>
      </c>
      <c r="AJ774" s="18">
        <f>$H774*K774</f>
      </c>
      <c r="AK774" s="18">
        <f>$H774*L774</f>
      </c>
      <c r="AL774" s="18">
        <f>$H774*M774</f>
      </c>
      <c r="AM774" s="14"/>
      <c r="AN774" s="14"/>
      <c r="AO774" s="14"/>
    </row>
    <row x14ac:dyDescent="0.25" r="775" customHeight="1" ht="17.25">
      <c r="A775" s="2" t="s">
        <v>1525</v>
      </c>
      <c r="B775" s="2" t="s">
        <v>1520</v>
      </c>
      <c r="C775" s="2" t="s">
        <v>40</v>
      </c>
      <c r="D775" s="2" t="s">
        <v>41</v>
      </c>
      <c r="E775" s="12" t="s">
        <v>42</v>
      </c>
      <c r="F775" s="2" t="s">
        <v>43</v>
      </c>
      <c r="G775" s="2" t="s">
        <v>1526</v>
      </c>
      <c r="H775" s="14">
        <v>4</v>
      </c>
      <c r="I775" s="15">
        <f>8/6</f>
      </c>
      <c r="J775" s="15">
        <f>8*(5/6)</f>
      </c>
      <c r="K775" s="14"/>
      <c r="L775" s="13"/>
      <c r="M775" s="13">
        <v>3.5</v>
      </c>
      <c r="N775" s="15"/>
      <c r="O775" s="16"/>
      <c r="P775" s="13"/>
      <c r="Q775" s="13"/>
      <c r="R775" s="17"/>
      <c r="S775" s="13"/>
      <c r="T775" s="17"/>
      <c r="U775" s="13"/>
      <c r="V775" s="16"/>
      <c r="W775" s="13"/>
      <c r="X775" s="13"/>
      <c r="Y775" s="14"/>
      <c r="Z775" s="2"/>
      <c r="AA775" s="13">
        <f>H775*I775/100</f>
      </c>
      <c r="AB775" s="13">
        <f>H775*J775/100</f>
      </c>
      <c r="AC775" s="15">
        <f>H775*K775</f>
      </c>
      <c r="AD775" s="15">
        <f>H775*M775</f>
      </c>
      <c r="AE775" s="13">
        <f>H775*L775/100</f>
      </c>
      <c r="AF775" s="22">
        <f>AA775+AB775+AE775</f>
      </c>
      <c r="AG775" s="13">
        <f>I775+J775+L775</f>
      </c>
      <c r="AH775" s="18">
        <f>$H775*I775</f>
      </c>
      <c r="AI775" s="18">
        <f>$H775*J775</f>
      </c>
      <c r="AJ775" s="18">
        <f>$H775*K775</f>
      </c>
      <c r="AK775" s="18">
        <f>$H775*L775</f>
      </c>
      <c r="AL775" s="18">
        <f>$H775*M775</f>
      </c>
      <c r="AM775" s="14"/>
      <c r="AN775" s="14"/>
      <c r="AO775" s="14"/>
    </row>
    <row x14ac:dyDescent="0.25" r="776" customHeight="1" ht="17.25">
      <c r="A776" s="2" t="s">
        <v>1527</v>
      </c>
      <c r="B776" s="2" t="s">
        <v>1528</v>
      </c>
      <c r="C776" s="2" t="s">
        <v>40</v>
      </c>
      <c r="D776" s="2" t="s">
        <v>64</v>
      </c>
      <c r="E776" s="2" t="s">
        <v>52</v>
      </c>
      <c r="F776" s="2" t="s">
        <v>1115</v>
      </c>
      <c r="G776" s="2" t="s">
        <v>1016</v>
      </c>
      <c r="H776" s="13">
        <f>14.2+11.7</f>
      </c>
      <c r="I776" s="13">
        <f>(2.51*14.2+2.84*11.7)/$H776</f>
      </c>
      <c r="J776" s="13">
        <f>(2.62*14.2+2.63*11.7)/$H776</f>
      </c>
      <c r="K776" s="14"/>
      <c r="L776" s="13"/>
      <c r="M776" s="13"/>
      <c r="N776" s="15"/>
      <c r="O776" s="16"/>
      <c r="P776" s="13"/>
      <c r="Q776" s="13"/>
      <c r="R776" s="17"/>
      <c r="S776" s="13"/>
      <c r="T776" s="17"/>
      <c r="U776" s="13"/>
      <c r="V776" s="16"/>
      <c r="W776" s="13"/>
      <c r="X776" s="13"/>
      <c r="Y776" s="14"/>
      <c r="Z776" s="2"/>
      <c r="AA776" s="13">
        <f>H776*I776/100</f>
      </c>
      <c r="AB776" s="13">
        <f>H776*J776/100</f>
      </c>
      <c r="AC776" s="15">
        <f>H776*K776</f>
      </c>
      <c r="AD776" s="15">
        <f>H776*M776</f>
      </c>
      <c r="AE776" s="13">
        <f>H776*L776/100</f>
      </c>
      <c r="AF776" s="13">
        <f>AA776+AB776+AE776</f>
      </c>
      <c r="AG776" s="13">
        <f>I776+J776+L776</f>
      </c>
      <c r="AH776" s="18">
        <f>$H776*I776</f>
      </c>
      <c r="AI776" s="18">
        <f>$H776*J776</f>
      </c>
      <c r="AJ776" s="18">
        <f>$H776*K776</f>
      </c>
      <c r="AK776" s="18">
        <f>$H776*L776</f>
      </c>
      <c r="AL776" s="18">
        <f>$H776*M776</f>
      </c>
      <c r="AM776" s="14"/>
      <c r="AN776" s="14"/>
      <c r="AO776" s="14"/>
    </row>
    <row x14ac:dyDescent="0.25" r="777" customHeight="1" ht="17.25">
      <c r="A777" s="2" t="s">
        <v>1529</v>
      </c>
      <c r="B777" s="2" t="s">
        <v>1528</v>
      </c>
      <c r="C777" s="2" t="s">
        <v>40</v>
      </c>
      <c r="D777" s="2" t="s">
        <v>64</v>
      </c>
      <c r="E777" s="2" t="s">
        <v>52</v>
      </c>
      <c r="F777" s="2" t="s">
        <v>1115</v>
      </c>
      <c r="G777" s="2" t="s">
        <v>1016</v>
      </c>
      <c r="H777" s="13">
        <f>154.6+59.7</f>
      </c>
      <c r="I777" s="13">
        <f>(0.53*154.6+0.22*59.7)/$H777</f>
      </c>
      <c r="J777" s="13">
        <f>(6.23*154.6+7.8*59.7)/$H777</f>
      </c>
      <c r="K777" s="14"/>
      <c r="L777" s="13"/>
      <c r="M777" s="13"/>
      <c r="N777" s="15"/>
      <c r="O777" s="16"/>
      <c r="P777" s="13"/>
      <c r="Q777" s="13"/>
      <c r="R777" s="17"/>
      <c r="S777" s="13"/>
      <c r="T777" s="17"/>
      <c r="U777" s="13"/>
      <c r="V777" s="16"/>
      <c r="W777" s="13"/>
      <c r="X777" s="13"/>
      <c r="Y777" s="14"/>
      <c r="Z777" s="2"/>
      <c r="AA777" s="13">
        <f>H777*I777/100</f>
      </c>
      <c r="AB777" s="13">
        <f>H777*J777/100</f>
      </c>
      <c r="AC777" s="15">
        <f>H777*K777</f>
      </c>
      <c r="AD777" s="15">
        <f>H777*M777</f>
      </c>
      <c r="AE777" s="13">
        <f>H777*L777/100</f>
      </c>
      <c r="AF777" s="13">
        <f>AA777+AB777+AE777</f>
      </c>
      <c r="AG777" s="13">
        <f>I777+J777+L777</f>
      </c>
      <c r="AH777" s="18">
        <f>$H777*I777</f>
      </c>
      <c r="AI777" s="18">
        <f>$H777*J777</f>
      </c>
      <c r="AJ777" s="18">
        <f>$H777*K777</f>
      </c>
      <c r="AK777" s="18">
        <f>$H777*L777</f>
      </c>
      <c r="AL777" s="18">
        <f>$H777*M777</f>
      </c>
      <c r="AM777" s="14"/>
      <c r="AN777" s="14"/>
      <c r="AO777" s="14"/>
    </row>
    <row x14ac:dyDescent="0.25" r="778" customHeight="1" ht="17.25">
      <c r="A778" s="2" t="s">
        <v>1530</v>
      </c>
      <c r="B778" s="2" t="s">
        <v>1528</v>
      </c>
      <c r="C778" s="2" t="s">
        <v>40</v>
      </c>
      <c r="D778" s="2"/>
      <c r="E778" s="2" t="s">
        <v>52</v>
      </c>
      <c r="F778" s="2" t="s">
        <v>1115</v>
      </c>
      <c r="G778" s="2" t="s">
        <v>1016</v>
      </c>
      <c r="H778" s="15">
        <f>18.8+24.4+2.8</f>
      </c>
      <c r="I778" s="13">
        <f>(2.88*18.8+2.61*24.4+2.53*2.8)/$H778</f>
      </c>
      <c r="J778" s="13">
        <f>(0.56*18.8+0.53*24.4+0.5*2.8)/$H778</f>
      </c>
      <c r="K778" s="14"/>
      <c r="L778" s="13"/>
      <c r="M778" s="13"/>
      <c r="N778" s="15"/>
      <c r="O778" s="16"/>
      <c r="P778" s="13"/>
      <c r="Q778" s="13"/>
      <c r="R778" s="17"/>
      <c r="S778" s="13"/>
      <c r="T778" s="17"/>
      <c r="U778" s="13"/>
      <c r="V778" s="16"/>
      <c r="W778" s="13"/>
      <c r="X778" s="13"/>
      <c r="Y778" s="14"/>
      <c r="Z778" s="2"/>
      <c r="AA778" s="13">
        <f>H778*I778/100</f>
      </c>
      <c r="AB778" s="13">
        <f>H778*J778/100</f>
      </c>
      <c r="AC778" s="15">
        <f>H778*K778</f>
      </c>
      <c r="AD778" s="15">
        <f>H778*M778</f>
      </c>
      <c r="AE778" s="13">
        <f>H778*L778/100</f>
      </c>
      <c r="AF778" s="13">
        <f>AA778+AB778+AE778</f>
      </c>
      <c r="AG778" s="13">
        <f>I778+J778+L778</f>
      </c>
      <c r="AH778" s="18">
        <f>$H778*I778</f>
      </c>
      <c r="AI778" s="18">
        <f>$H778*J778</f>
      </c>
      <c r="AJ778" s="18">
        <f>$H778*K778</f>
      </c>
      <c r="AK778" s="18">
        <f>$H778*L778</f>
      </c>
      <c r="AL778" s="18">
        <f>$H778*M778</f>
      </c>
      <c r="AM778" s="14"/>
      <c r="AN778" s="14"/>
      <c r="AO778" s="14"/>
    </row>
    <row x14ac:dyDescent="0.25" r="779" customHeight="1" ht="17.25">
      <c r="A779" s="2" t="s">
        <v>1531</v>
      </c>
      <c r="B779" s="2" t="s">
        <v>1528</v>
      </c>
      <c r="C779" s="2" t="s">
        <v>40</v>
      </c>
      <c r="D779" s="2" t="s">
        <v>41</v>
      </c>
      <c r="E779" s="12" t="s">
        <v>42</v>
      </c>
      <c r="F779" s="2" t="s">
        <v>43</v>
      </c>
      <c r="G779" s="2" t="s">
        <v>1532</v>
      </c>
      <c r="H779" s="13">
        <v>0.63</v>
      </c>
      <c r="I779" s="13">
        <v>0.18</v>
      </c>
      <c r="J779" s="13">
        <v>3.3</v>
      </c>
      <c r="K779" s="14"/>
      <c r="L779" s="13"/>
      <c r="M779" s="13"/>
      <c r="N779" s="15"/>
      <c r="O779" s="16"/>
      <c r="P779" s="13"/>
      <c r="Q779" s="13"/>
      <c r="R779" s="17"/>
      <c r="S779" s="13"/>
      <c r="T779" s="17"/>
      <c r="U779" s="13"/>
      <c r="V779" s="16"/>
      <c r="W779" s="13"/>
      <c r="X779" s="13"/>
      <c r="Y779" s="14"/>
      <c r="Z779" s="2"/>
      <c r="AA779" s="13">
        <f>H779*I779/100</f>
      </c>
      <c r="AB779" s="13">
        <f>H779*J779/100</f>
      </c>
      <c r="AC779" s="15">
        <f>H779*K779</f>
      </c>
      <c r="AD779" s="15">
        <f>H779*M779</f>
      </c>
      <c r="AE779" s="13">
        <f>H779*L779/100</f>
      </c>
      <c r="AF779" s="13">
        <f>AA779+AB779+AE779</f>
      </c>
      <c r="AG779" s="13">
        <f>I779+J779+L779</f>
      </c>
      <c r="AH779" s="18">
        <f>$H779*I779</f>
      </c>
      <c r="AI779" s="18">
        <f>$H779*J779</f>
      </c>
      <c r="AJ779" s="18">
        <f>$H779*K779</f>
      </c>
      <c r="AK779" s="18">
        <f>$H779*L779</f>
      </c>
      <c r="AL779" s="18">
        <f>$H779*M779</f>
      </c>
      <c r="AM779" s="14"/>
      <c r="AN779" s="14"/>
      <c r="AO779" s="14"/>
    </row>
    <row x14ac:dyDescent="0.25" r="780" customHeight="1" ht="17.25">
      <c r="A780" s="2" t="s">
        <v>1533</v>
      </c>
      <c r="B780" s="2" t="s">
        <v>1528</v>
      </c>
      <c r="C780" s="2" t="s">
        <v>40</v>
      </c>
      <c r="D780" s="2" t="s">
        <v>41</v>
      </c>
      <c r="E780" s="2" t="s">
        <v>52</v>
      </c>
      <c r="F780" s="2" t="s">
        <v>1534</v>
      </c>
      <c r="G780" s="2" t="s">
        <v>1535</v>
      </c>
      <c r="H780" s="13">
        <v>347.767739</v>
      </c>
      <c r="I780" s="13">
        <v>0.09</v>
      </c>
      <c r="J780" s="13">
        <v>0.37</v>
      </c>
      <c r="K780" s="14"/>
      <c r="L780" s="13"/>
      <c r="M780" s="13"/>
      <c r="N780" s="15"/>
      <c r="O780" s="16"/>
      <c r="P780" s="13"/>
      <c r="Q780" s="13"/>
      <c r="R780" s="17"/>
      <c r="S780" s="13"/>
      <c r="T780" s="17"/>
      <c r="U780" s="13"/>
      <c r="V780" s="16"/>
      <c r="W780" s="13"/>
      <c r="X780" s="13"/>
      <c r="Y780" s="14"/>
      <c r="Z780" s="2"/>
      <c r="AA780" s="13">
        <f>H780*I780/100</f>
      </c>
      <c r="AB780" s="13">
        <f>H780*J780/100</f>
      </c>
      <c r="AC780" s="15">
        <f>H780*K780</f>
      </c>
      <c r="AD780" s="15">
        <f>H780*M780</f>
      </c>
      <c r="AE780" s="13">
        <f>H780*L780/100</f>
      </c>
      <c r="AF780" s="13">
        <f>AA780+AB780+AE780</f>
      </c>
      <c r="AG780" s="13">
        <f>I780+J780+L780</f>
      </c>
      <c r="AH780" s="18">
        <f>$H780*I780</f>
      </c>
      <c r="AI780" s="18">
        <f>$H780*J780</f>
      </c>
      <c r="AJ780" s="18">
        <f>$H780*K780</f>
      </c>
      <c r="AK780" s="18">
        <f>$H780*L780</f>
      </c>
      <c r="AL780" s="18">
        <f>$H780*M780</f>
      </c>
      <c r="AM780" s="14"/>
      <c r="AN780" s="14"/>
      <c r="AO780" s="14"/>
    </row>
    <row x14ac:dyDescent="0.25" r="781" customHeight="1" ht="17.25">
      <c r="A781" s="2" t="s">
        <v>1536</v>
      </c>
      <c r="B781" s="2" t="s">
        <v>1528</v>
      </c>
      <c r="C781" s="2" t="s">
        <v>50</v>
      </c>
      <c r="D781" s="2"/>
      <c r="E781" s="2" t="s">
        <v>52</v>
      </c>
      <c r="F781" s="2" t="s">
        <v>1537</v>
      </c>
      <c r="G781" s="2" t="s">
        <v>1421</v>
      </c>
      <c r="H781" s="13">
        <v>14.91</v>
      </c>
      <c r="I781" s="13">
        <v>0.58</v>
      </c>
      <c r="J781" s="13">
        <v>3.04</v>
      </c>
      <c r="K781" s="13">
        <v>18.79</v>
      </c>
      <c r="L781" s="13">
        <v>0.45</v>
      </c>
      <c r="M781" s="13">
        <v>0.03</v>
      </c>
      <c r="N781" s="15"/>
      <c r="O781" s="16"/>
      <c r="P781" s="13"/>
      <c r="Q781" s="13"/>
      <c r="R781" s="17"/>
      <c r="S781" s="13"/>
      <c r="T781" s="17"/>
      <c r="U781" s="13"/>
      <c r="V781" s="16"/>
      <c r="W781" s="13"/>
      <c r="X781" s="13"/>
      <c r="Y781" s="14"/>
      <c r="Z781" s="2"/>
      <c r="AA781" s="13">
        <f>H781*I781/100</f>
      </c>
      <c r="AB781" s="13">
        <f>H781*J781/100</f>
      </c>
      <c r="AC781" s="15">
        <f>H781*K781</f>
      </c>
      <c r="AD781" s="15">
        <f>H781*M781</f>
      </c>
      <c r="AE781" s="13">
        <f>H781*L781/100</f>
      </c>
      <c r="AF781" s="13">
        <f>AA781+AB781+AE781</f>
      </c>
      <c r="AG781" s="13">
        <f>I781+J781+L781</f>
      </c>
      <c r="AH781" s="18">
        <f>$H781*I781</f>
      </c>
      <c r="AI781" s="18">
        <f>$H781*J781</f>
      </c>
      <c r="AJ781" s="18">
        <f>$H781*K781</f>
      </c>
      <c r="AK781" s="18">
        <f>$H781*L781</f>
      </c>
      <c r="AL781" s="18">
        <f>$H781*M781</f>
      </c>
      <c r="AM781" s="14"/>
      <c r="AN781" s="14"/>
      <c r="AO781" s="14"/>
    </row>
    <row x14ac:dyDescent="0.25" r="782" customHeight="1" ht="17.25">
      <c r="A782" s="2" t="s">
        <v>1538</v>
      </c>
      <c r="B782" s="2" t="s">
        <v>1528</v>
      </c>
      <c r="C782" s="2" t="s">
        <v>50</v>
      </c>
      <c r="D782" s="2"/>
      <c r="E782" s="2" t="s">
        <v>52</v>
      </c>
      <c r="F782" s="2" t="s">
        <v>1537</v>
      </c>
      <c r="G782" s="2" t="s">
        <v>1421</v>
      </c>
      <c r="H782" s="13">
        <v>1.13</v>
      </c>
      <c r="I782" s="13">
        <v>3.95</v>
      </c>
      <c r="J782" s="13">
        <v>0.64</v>
      </c>
      <c r="K782" s="14">
        <v>38</v>
      </c>
      <c r="L782" s="13">
        <v>0.01</v>
      </c>
      <c r="M782" s="13"/>
      <c r="N782" s="15"/>
      <c r="O782" s="16"/>
      <c r="P782" s="13"/>
      <c r="Q782" s="13"/>
      <c r="R782" s="17"/>
      <c r="S782" s="13"/>
      <c r="T782" s="17"/>
      <c r="U782" s="13"/>
      <c r="V782" s="16"/>
      <c r="W782" s="13"/>
      <c r="X782" s="13"/>
      <c r="Y782" s="14"/>
      <c r="Z782" s="2"/>
      <c r="AA782" s="13">
        <f>H782*I782/100</f>
      </c>
      <c r="AB782" s="13">
        <f>H782*J782/100</f>
      </c>
      <c r="AC782" s="15">
        <f>H782*K782</f>
      </c>
      <c r="AD782" s="15">
        <f>H782*M782</f>
      </c>
      <c r="AE782" s="13">
        <f>H782*L782/100</f>
      </c>
      <c r="AF782" s="13">
        <f>AA782+AB782+AE782</f>
      </c>
      <c r="AG782" s="13">
        <f>I782+J782+L782</f>
      </c>
      <c r="AH782" s="18">
        <f>$H782*I782</f>
      </c>
      <c r="AI782" s="18">
        <f>$H782*J782</f>
      </c>
      <c r="AJ782" s="18">
        <f>$H782*K782</f>
      </c>
      <c r="AK782" s="18">
        <f>$H782*L782</f>
      </c>
      <c r="AL782" s="18">
        <f>$H782*M782</f>
      </c>
      <c r="AM782" s="14"/>
      <c r="AN782" s="14"/>
      <c r="AO782" s="14"/>
    </row>
    <row x14ac:dyDescent="0.25" r="783" customHeight="1" ht="17.25">
      <c r="A783" s="2" t="s">
        <v>1539</v>
      </c>
      <c r="B783" s="2" t="s">
        <v>1528</v>
      </c>
      <c r="C783" s="2" t="s">
        <v>50</v>
      </c>
      <c r="D783" s="2"/>
      <c r="E783" s="2" t="s">
        <v>52</v>
      </c>
      <c r="F783" s="2" t="s">
        <v>1537</v>
      </c>
      <c r="G783" s="2" t="s">
        <v>1421</v>
      </c>
      <c r="H783" s="13">
        <v>26.01</v>
      </c>
      <c r="I783" s="13">
        <v>0.49</v>
      </c>
      <c r="J783" s="13">
        <v>1.76</v>
      </c>
      <c r="K783" s="13">
        <v>21.7</v>
      </c>
      <c r="L783" s="13">
        <v>0.64</v>
      </c>
      <c r="M783" s="13">
        <v>0.84</v>
      </c>
      <c r="N783" s="15"/>
      <c r="O783" s="16"/>
      <c r="P783" s="13"/>
      <c r="Q783" s="13"/>
      <c r="R783" s="17"/>
      <c r="S783" s="13"/>
      <c r="T783" s="17"/>
      <c r="U783" s="13"/>
      <c r="V783" s="16"/>
      <c r="W783" s="13"/>
      <c r="X783" s="13"/>
      <c r="Y783" s="14"/>
      <c r="Z783" s="2"/>
      <c r="AA783" s="13">
        <f>H783*I783/100</f>
      </c>
      <c r="AB783" s="13">
        <f>H783*J783/100</f>
      </c>
      <c r="AC783" s="15">
        <f>H783*K783</f>
      </c>
      <c r="AD783" s="15">
        <f>H783*M783</f>
      </c>
      <c r="AE783" s="13">
        <f>H783*L783/100</f>
      </c>
      <c r="AF783" s="13">
        <f>AA783+AB783+AE783</f>
      </c>
      <c r="AG783" s="13">
        <f>I783+J783+L783</f>
      </c>
      <c r="AH783" s="18">
        <f>$H783*I783</f>
      </c>
      <c r="AI783" s="18">
        <f>$H783*J783</f>
      </c>
      <c r="AJ783" s="18">
        <f>$H783*K783</f>
      </c>
      <c r="AK783" s="18">
        <f>$H783*L783</f>
      </c>
      <c r="AL783" s="18">
        <f>$H783*M783</f>
      </c>
      <c r="AM783" s="14"/>
      <c r="AN783" s="14"/>
      <c r="AO783" s="14"/>
    </row>
    <row x14ac:dyDescent="0.25" r="784" customHeight="1" ht="17.25">
      <c r="A784" s="2" t="s">
        <v>1540</v>
      </c>
      <c r="B784" s="2" t="s">
        <v>1541</v>
      </c>
      <c r="C784" s="2" t="s">
        <v>159</v>
      </c>
      <c r="D784" s="2"/>
      <c r="E784" s="12" t="s">
        <v>42</v>
      </c>
      <c r="F784" s="2" t="s">
        <v>1542</v>
      </c>
      <c r="G784" s="2" t="s">
        <v>1543</v>
      </c>
      <c r="H784" s="13">
        <f>3.6+3.6</f>
      </c>
      <c r="I784" s="13">
        <f>(3.5*3.6+3.4*3.6)/$H784</f>
      </c>
      <c r="J784" s="13">
        <f>(4.8*3.6+4.8*3.6)/$H784</f>
      </c>
      <c r="K784" s="14"/>
      <c r="L784" s="13"/>
      <c r="M784" s="13"/>
      <c r="N784" s="15"/>
      <c r="O784" s="16"/>
      <c r="P784" s="13"/>
      <c r="Q784" s="13"/>
      <c r="R784" s="17"/>
      <c r="S784" s="13"/>
      <c r="T784" s="17"/>
      <c r="U784" s="13"/>
      <c r="V784" s="16"/>
      <c r="W784" s="13"/>
      <c r="X784" s="13"/>
      <c r="Y784" s="14"/>
      <c r="Z784" s="2"/>
      <c r="AA784" s="13">
        <f>H784*I784/100</f>
      </c>
      <c r="AB784" s="13">
        <f>H784*J784/100</f>
      </c>
      <c r="AC784" s="15">
        <f>H784*K784</f>
      </c>
      <c r="AD784" s="15">
        <f>H784*M784</f>
      </c>
      <c r="AE784" s="13">
        <f>H784*L784/100</f>
      </c>
      <c r="AF784" s="13">
        <f>AA784+AB784+AE784</f>
      </c>
      <c r="AG784" s="13">
        <f>I784+J784+L784</f>
      </c>
      <c r="AH784" s="18">
        <f>$H784*I784</f>
      </c>
      <c r="AI784" s="18">
        <f>$H784*J784</f>
      </c>
      <c r="AJ784" s="18">
        <f>$H784*K784</f>
      </c>
      <c r="AK784" s="18">
        <f>$H784*L784</f>
      </c>
      <c r="AL784" s="18">
        <f>$H784*M784</f>
      </c>
      <c r="AM784" s="14"/>
      <c r="AN784" s="14"/>
      <c r="AO784" s="14"/>
    </row>
    <row x14ac:dyDescent="0.25" r="785" customHeight="1" ht="17.25">
      <c r="A785" s="2" t="s">
        <v>1544</v>
      </c>
      <c r="B785" s="2" t="s">
        <v>1545</v>
      </c>
      <c r="C785" s="2" t="s">
        <v>50</v>
      </c>
      <c r="D785" s="2"/>
      <c r="E785" s="2" t="s">
        <v>52</v>
      </c>
      <c r="F785" s="2" t="s">
        <v>1546</v>
      </c>
      <c r="G785" s="2" t="s">
        <v>1547</v>
      </c>
      <c r="H785" s="13">
        <f>5.39+7.13+5.4+6.76+0.93+1.89+0.87+1.94+1.34+6.25+0.22</f>
      </c>
      <c r="I785" s="15">
        <f>(1.8*5.39+2.3*7.13+0.2*5.4+0.3*6.76+0.1*0.93+0.1*1.89+2.63*0.87+1.31*1.94+0.08*1.34+0.5*6.25+0.02*0.22)/$H785</f>
      </c>
      <c r="J785" s="15">
        <f>(6.7*5.39+7.8*7.13+0.9*5.4+1.1*6.76+0.3*0.93+0.1*1.89+10.33*0.87+4*1.94+0.61*1.34+1.51*6.25+0.05*0.22)/$H785</f>
      </c>
      <c r="K785" s="15">
        <f>(56.3*5.39+80.1*7.13+23*5.4+32.1*6.76+9.4*0.93+6.1*1.89+111.2*0.87+64.7*1.94+23*1.34+37.7*6.25+4.6*0.22)/$H785</f>
      </c>
      <c r="L785" s="15">
        <f>(0.6*5.39+1.3*7.13+1.9*5.4+2.4*6.76+2*0.93+1.7*1.89+1.24*0.87+1.64*1.94+3.52*1.34+1.99*6.25+1.38*0.22)/$H785</f>
      </c>
      <c r="M785" s="15">
        <f>(0.8*5.39+0.8*7.13+0.4*5.4+0.5*6.76+0.1*0.93+0.1*1.89+0.88*0.87+0.56*1.94+0.44*1.34+0.67*6.25+0.03*0.22)/$H785</f>
      </c>
      <c r="N785" s="15"/>
      <c r="O785" s="16"/>
      <c r="P785" s="13"/>
      <c r="Q785" s="13"/>
      <c r="R785" s="17"/>
      <c r="S785" s="13"/>
      <c r="T785" s="17"/>
      <c r="U785" s="13"/>
      <c r="V785" s="16"/>
      <c r="W785" s="13"/>
      <c r="X785" s="13"/>
      <c r="Y785" s="14"/>
      <c r="Z785" s="2"/>
      <c r="AA785" s="13">
        <f>H785*I785/100</f>
      </c>
      <c r="AB785" s="13">
        <f>H785*J785/100</f>
      </c>
      <c r="AC785" s="15">
        <f>H785*K785</f>
      </c>
      <c r="AD785" s="15">
        <f>H785*M785</f>
      </c>
      <c r="AE785" s="13">
        <f>H785*L785/100</f>
      </c>
      <c r="AF785" s="13">
        <f>AA785+AB785+AE785</f>
      </c>
      <c r="AG785" s="13">
        <f>I785+J785+L785</f>
      </c>
      <c r="AH785" s="18">
        <f>$H785*I785</f>
      </c>
      <c r="AI785" s="18">
        <f>$H785*J785</f>
      </c>
      <c r="AJ785" s="18">
        <f>$H785*K785</f>
      </c>
      <c r="AK785" s="18">
        <f>$H785*L785</f>
      </c>
      <c r="AL785" s="18">
        <f>$H785*M785</f>
      </c>
      <c r="AM785" s="14"/>
      <c r="AN785" s="14"/>
      <c r="AO785" s="14"/>
    </row>
    <row x14ac:dyDescent="0.25" r="786" customHeight="1" ht="17.25">
      <c r="A786" s="2" t="s">
        <v>1548</v>
      </c>
      <c r="B786" s="2" t="s">
        <v>1545</v>
      </c>
      <c r="C786" s="2" t="s">
        <v>50</v>
      </c>
      <c r="D786" s="2"/>
      <c r="E786" s="2" t="s">
        <v>52</v>
      </c>
      <c r="F786" s="2" t="s">
        <v>965</v>
      </c>
      <c r="G786" s="2" t="s">
        <v>73</v>
      </c>
      <c r="H786" s="13">
        <f>1.401+1.076+38.231</f>
      </c>
      <c r="I786" s="13">
        <f>(4.82*1.401+2.1*1.076+1.29*38.231)/$H786</f>
      </c>
      <c r="J786" s="13">
        <f>(0*1.401+0*1.076+2.61*38.231)/$H786</f>
      </c>
      <c r="K786" s="15">
        <f>(104*1.401+39*1.076+27*38.231)/$H786</f>
      </c>
      <c r="L786" s="13">
        <f>(0*1.401+0*1.076+1.05*38.231)/$H786</f>
      </c>
      <c r="M786" s="13">
        <f>(3.25*1.401+2.3*1.076+0*38.231)/$H786</f>
      </c>
      <c r="N786" s="15"/>
      <c r="O786" s="16"/>
      <c r="P786" s="13"/>
      <c r="Q786" s="13"/>
      <c r="R786" s="17"/>
      <c r="S786" s="13"/>
      <c r="T786" s="17"/>
      <c r="U786" s="13"/>
      <c r="V786" s="16"/>
      <c r="W786" s="13"/>
      <c r="X786" s="13"/>
      <c r="Y786" s="14"/>
      <c r="Z786" s="2"/>
      <c r="AA786" s="13">
        <f>H786*I786/100</f>
      </c>
      <c r="AB786" s="13">
        <f>H786*J786/100</f>
      </c>
      <c r="AC786" s="15">
        <f>H786*K786</f>
      </c>
      <c r="AD786" s="15">
        <f>H786*M786</f>
      </c>
      <c r="AE786" s="13">
        <f>H786*L786/100</f>
      </c>
      <c r="AF786" s="13">
        <f>AA786+AB786+AE786</f>
      </c>
      <c r="AG786" s="13">
        <f>I786+J786+L786</f>
      </c>
      <c r="AH786" s="18">
        <f>$H786*I786</f>
      </c>
      <c r="AI786" s="18">
        <f>$H786*J786</f>
      </c>
      <c r="AJ786" s="18">
        <f>$H786*K786</f>
      </c>
      <c r="AK786" s="18">
        <f>$H786*L786</f>
      </c>
      <c r="AL786" s="18">
        <f>$H786*M786</f>
      </c>
      <c r="AM786" s="14"/>
      <c r="AN786" s="14"/>
      <c r="AO786" s="14"/>
    </row>
    <row x14ac:dyDescent="0.25" r="787" customHeight="1" ht="17.25">
      <c r="A787" s="2" t="s">
        <v>1549</v>
      </c>
      <c r="B787" s="2" t="s">
        <v>1545</v>
      </c>
      <c r="C787" s="2" t="s">
        <v>50</v>
      </c>
      <c r="D787" s="2"/>
      <c r="E787" s="2" t="s">
        <v>52</v>
      </c>
      <c r="F787" s="2" t="s">
        <v>1550</v>
      </c>
      <c r="G787" s="2" t="s">
        <v>434</v>
      </c>
      <c r="H787" s="13">
        <v>30.35</v>
      </c>
      <c r="I787" s="13">
        <v>0.67</v>
      </c>
      <c r="J787" s="13">
        <v>2.35</v>
      </c>
      <c r="K787" s="15">
        <v>46.56</v>
      </c>
      <c r="L787" s="13">
        <v>0.67</v>
      </c>
      <c r="M787" s="13">
        <v>2.31</v>
      </c>
      <c r="N787" s="15"/>
      <c r="O787" s="16"/>
      <c r="P787" s="13"/>
      <c r="Q787" s="13"/>
      <c r="R787" s="17"/>
      <c r="S787" s="13"/>
      <c r="T787" s="17"/>
      <c r="U787" s="13"/>
      <c r="V787" s="16"/>
      <c r="W787" s="13"/>
      <c r="X787" s="13"/>
      <c r="Y787" s="14"/>
      <c r="Z787" s="2"/>
      <c r="AA787" s="13">
        <f>H787*I787/100</f>
      </c>
      <c r="AB787" s="13">
        <f>H787*J787/100</f>
      </c>
      <c r="AC787" s="15">
        <f>H787*K787</f>
      </c>
      <c r="AD787" s="15">
        <f>H787*M787</f>
      </c>
      <c r="AE787" s="13">
        <f>H787*L787/100</f>
      </c>
      <c r="AF787" s="13">
        <f>AA787+AB787+AE787</f>
      </c>
      <c r="AG787" s="13">
        <f>I787+J787+L787</f>
      </c>
      <c r="AH787" s="18">
        <f>$H787*I787</f>
      </c>
      <c r="AI787" s="18">
        <f>$H787*J787</f>
      </c>
      <c r="AJ787" s="18">
        <f>$H787*K787</f>
      </c>
      <c r="AK787" s="18">
        <f>$H787*L787</f>
      </c>
      <c r="AL787" s="18">
        <f>$H787*M787</f>
      </c>
      <c r="AM787" s="14"/>
      <c r="AN787" s="14"/>
      <c r="AO787" s="14"/>
    </row>
    <row x14ac:dyDescent="0.25" r="788" customHeight="1" ht="17.25">
      <c r="A788" s="2" t="s">
        <v>1551</v>
      </c>
      <c r="B788" s="2" t="s">
        <v>1545</v>
      </c>
      <c r="C788" s="2" t="s">
        <v>50</v>
      </c>
      <c r="D788" s="2"/>
      <c r="E788" s="2" t="s">
        <v>52</v>
      </c>
      <c r="F788" s="2" t="s">
        <v>1552</v>
      </c>
      <c r="G788" s="2" t="s">
        <v>1553</v>
      </c>
      <c r="H788" s="15">
        <v>134.082009</v>
      </c>
      <c r="I788" s="13">
        <v>0.45</v>
      </c>
      <c r="J788" s="13">
        <v>1.1</v>
      </c>
      <c r="K788" s="13">
        <v>26.8</v>
      </c>
      <c r="L788" s="13">
        <v>0.54</v>
      </c>
      <c r="M788" s="13">
        <v>0.51</v>
      </c>
      <c r="N788" s="15"/>
      <c r="O788" s="16"/>
      <c r="P788" s="13"/>
      <c r="Q788" s="13"/>
      <c r="R788" s="17"/>
      <c r="S788" s="13"/>
      <c r="T788" s="17"/>
      <c r="U788" s="13"/>
      <c r="V788" s="16"/>
      <c r="W788" s="13"/>
      <c r="X788" s="13"/>
      <c r="Y788" s="14"/>
      <c r="Z788" s="2"/>
      <c r="AA788" s="13">
        <f>H788*I788/100</f>
      </c>
      <c r="AB788" s="13">
        <f>H788*J788/100</f>
      </c>
      <c r="AC788" s="15">
        <f>H788*K788</f>
      </c>
      <c r="AD788" s="15">
        <f>H788*M788</f>
      </c>
      <c r="AE788" s="13">
        <f>H788*L788/100</f>
      </c>
      <c r="AF788" s="13">
        <f>AA788+AB788+AE788</f>
      </c>
      <c r="AG788" s="13">
        <f>I788+J788+L788</f>
      </c>
      <c r="AH788" s="18">
        <f>$H788*I788</f>
      </c>
      <c r="AI788" s="18">
        <f>$H788*J788</f>
      </c>
      <c r="AJ788" s="18">
        <f>$H788*K788</f>
      </c>
      <c r="AK788" s="18">
        <f>$H788*L788</f>
      </c>
      <c r="AL788" s="18">
        <f>$H788*M788</f>
      </c>
      <c r="AM788" s="14"/>
      <c r="AN788" s="14"/>
      <c r="AO788" s="14"/>
    </row>
    <row x14ac:dyDescent="0.25" r="789" customHeight="1" ht="17.25">
      <c r="A789" s="2" t="s">
        <v>1554</v>
      </c>
      <c r="B789" s="2" t="s">
        <v>1545</v>
      </c>
      <c r="C789" s="2" t="s">
        <v>40</v>
      </c>
      <c r="D789" s="2" t="s">
        <v>64</v>
      </c>
      <c r="E789" s="12" t="s">
        <v>42</v>
      </c>
      <c r="F789" s="2" t="s">
        <v>1445</v>
      </c>
      <c r="G789" s="2" t="s">
        <v>864</v>
      </c>
      <c r="H789" s="15">
        <v>5</v>
      </c>
      <c r="I789" s="13">
        <v>7.6</v>
      </c>
      <c r="J789" s="13">
        <v>8.9</v>
      </c>
      <c r="K789" s="14">
        <v>51</v>
      </c>
      <c r="L789" s="13"/>
      <c r="M789" s="13"/>
      <c r="N789" s="15"/>
      <c r="O789" s="16"/>
      <c r="P789" s="13"/>
      <c r="Q789" s="13"/>
      <c r="R789" s="17"/>
      <c r="S789" s="13"/>
      <c r="T789" s="17"/>
      <c r="U789" s="13"/>
      <c r="V789" s="16"/>
      <c r="W789" s="13"/>
      <c r="X789" s="13"/>
      <c r="Y789" s="14"/>
      <c r="Z789" s="2"/>
      <c r="AA789" s="13">
        <f>H789*I789/100</f>
      </c>
      <c r="AB789" s="13">
        <f>H789*J789/100</f>
      </c>
      <c r="AC789" s="15">
        <f>H789*K789</f>
      </c>
      <c r="AD789" s="15">
        <f>H789*M789</f>
      </c>
      <c r="AE789" s="13">
        <f>H789*L789/100</f>
      </c>
      <c r="AF789" s="22">
        <f>AA789+AB789+AE789</f>
      </c>
      <c r="AG789" s="13">
        <f>I789+J789+L789</f>
      </c>
      <c r="AH789" s="18">
        <f>$H789*I789</f>
      </c>
      <c r="AI789" s="18">
        <f>$H789*J789</f>
      </c>
      <c r="AJ789" s="18">
        <f>$H789*K789</f>
      </c>
      <c r="AK789" s="18">
        <f>$H789*L789</f>
      </c>
      <c r="AL789" s="18">
        <f>$H789*M789</f>
      </c>
      <c r="AM789" s="14"/>
      <c r="AN789" s="14"/>
      <c r="AO789" s="14"/>
    </row>
    <row x14ac:dyDescent="0.25" r="790" customHeight="1" ht="17.25">
      <c r="A790" s="2" t="s">
        <v>1555</v>
      </c>
      <c r="B790" s="2" t="s">
        <v>1545</v>
      </c>
      <c r="C790" s="2" t="s">
        <v>442</v>
      </c>
      <c r="D790" s="2"/>
      <c r="E790" s="2" t="s">
        <v>52</v>
      </c>
      <c r="F790" s="2" t="s">
        <v>1442</v>
      </c>
      <c r="G790" s="2" t="s">
        <v>456</v>
      </c>
      <c r="H790" s="13">
        <v>22.7</v>
      </c>
      <c r="I790" s="13">
        <v>3.18</v>
      </c>
      <c r="J790" s="13">
        <v>4.16</v>
      </c>
      <c r="K790" s="13">
        <v>24.4</v>
      </c>
      <c r="L790" s="13">
        <v>0.13</v>
      </c>
      <c r="M790" s="13"/>
      <c r="N790" s="15"/>
      <c r="O790" s="16"/>
      <c r="P790" s="13"/>
      <c r="Q790" s="13"/>
      <c r="R790" s="17"/>
      <c r="S790" s="13"/>
      <c r="T790" s="17"/>
      <c r="U790" s="13"/>
      <c r="V790" s="16"/>
      <c r="W790" s="13"/>
      <c r="X790" s="13"/>
      <c r="Y790" s="14"/>
      <c r="Z790" s="2"/>
      <c r="AA790" s="13">
        <f>H790*I790/100</f>
      </c>
      <c r="AB790" s="13">
        <f>H790*J790/100</f>
      </c>
      <c r="AC790" s="15">
        <f>H790*K790</f>
      </c>
      <c r="AD790" s="15">
        <f>H790*M790</f>
      </c>
      <c r="AE790" s="13">
        <f>H790*L790/100</f>
      </c>
      <c r="AF790" s="13">
        <f>AA790+AB790+AE790</f>
      </c>
      <c r="AG790" s="13">
        <f>I790+J790+L790</f>
      </c>
      <c r="AH790" s="18">
        <f>$H790*I790</f>
      </c>
      <c r="AI790" s="18">
        <f>$H790*J790</f>
      </c>
      <c r="AJ790" s="18">
        <f>$H790*K790</f>
      </c>
      <c r="AK790" s="18">
        <f>$H790*L790</f>
      </c>
      <c r="AL790" s="18">
        <f>$H790*M790</f>
      </c>
      <c r="AM790" s="14"/>
      <c r="AN790" s="14"/>
      <c r="AO790" s="14"/>
    </row>
    <row x14ac:dyDescent="0.25" r="791" customHeight="1" ht="17.25">
      <c r="A791" s="2" t="s">
        <v>1556</v>
      </c>
      <c r="B791" s="2" t="s">
        <v>1557</v>
      </c>
      <c r="C791" s="2" t="s">
        <v>40</v>
      </c>
      <c r="D791" s="2" t="s">
        <v>64</v>
      </c>
      <c r="E791" s="12" t="s">
        <v>42</v>
      </c>
      <c r="F791" s="2" t="s">
        <v>43</v>
      </c>
      <c r="G791" s="2" t="s">
        <v>46</v>
      </c>
      <c r="H791" s="13">
        <v>3.6</v>
      </c>
      <c r="I791" s="13"/>
      <c r="J791" s="13">
        <v>4.9</v>
      </c>
      <c r="K791" s="14">
        <v>72</v>
      </c>
      <c r="L791" s="13">
        <v>0.6</v>
      </c>
      <c r="M791" s="13"/>
      <c r="N791" s="15"/>
      <c r="O791" s="16"/>
      <c r="P791" s="13"/>
      <c r="Q791" s="13"/>
      <c r="R791" s="17"/>
      <c r="S791" s="13"/>
      <c r="T791" s="17"/>
      <c r="U791" s="13"/>
      <c r="V791" s="16"/>
      <c r="W791" s="13"/>
      <c r="X791" s="13"/>
      <c r="Y791" s="14"/>
      <c r="Z791" s="2"/>
      <c r="AA791" s="13">
        <f>H791*I791/100</f>
      </c>
      <c r="AB791" s="13">
        <f>H791*J791/100</f>
      </c>
      <c r="AC791" s="15">
        <f>H791*K791</f>
      </c>
      <c r="AD791" s="15">
        <f>H791*M791</f>
      </c>
      <c r="AE791" s="13">
        <f>H791*L791/100</f>
      </c>
      <c r="AF791" s="13">
        <f>AA791+AB791+AE791</f>
      </c>
      <c r="AG791" s="13">
        <f>I791+J791+L791</f>
      </c>
      <c r="AH791" s="18">
        <f>$H791*I791</f>
      </c>
      <c r="AI791" s="18">
        <f>$H791*J791</f>
      </c>
      <c r="AJ791" s="18">
        <f>$H791*K791</f>
      </c>
      <c r="AK791" s="18">
        <f>$H791*L791</f>
      </c>
      <c r="AL791" s="18">
        <f>$H791*M791</f>
      </c>
      <c r="AM791" s="14"/>
      <c r="AN791" s="14"/>
      <c r="AO791" s="14"/>
    </row>
    <row x14ac:dyDescent="0.25" r="792" customHeight="1" ht="17.25">
      <c r="A792" s="2" t="s">
        <v>1558</v>
      </c>
      <c r="B792" s="2" t="s">
        <v>1557</v>
      </c>
      <c r="C792" s="2" t="s">
        <v>50</v>
      </c>
      <c r="D792" s="2"/>
      <c r="E792" s="2" t="s">
        <v>52</v>
      </c>
      <c r="F792" s="2" t="s">
        <v>1559</v>
      </c>
      <c r="G792" s="2" t="s">
        <v>1560</v>
      </c>
      <c r="H792" s="13">
        <f>80.75+36.31</f>
      </c>
      <c r="I792" s="13"/>
      <c r="J792" s="13">
        <f>(0.65*80.75+0.7*36.31)/$H792</f>
      </c>
      <c r="K792" s="14"/>
      <c r="L792" s="13">
        <f>(1.12*80.75+1.11*36.31)/$H792</f>
      </c>
      <c r="M792" s="13">
        <f>(1.27*80.75+1.09*36.31)/$H792</f>
      </c>
      <c r="N792" s="15"/>
      <c r="O792" s="16"/>
      <c r="P792" s="13"/>
      <c r="Q792" s="13"/>
      <c r="R792" s="17"/>
      <c r="S792" s="13"/>
      <c r="T792" s="17"/>
      <c r="U792" s="13"/>
      <c r="V792" s="16"/>
      <c r="W792" s="13"/>
      <c r="X792" s="13"/>
      <c r="Y792" s="14"/>
      <c r="Z792" s="2"/>
      <c r="AA792" s="13">
        <f>H792*I792/100</f>
      </c>
      <c r="AB792" s="13">
        <f>H792*J792/100</f>
      </c>
      <c r="AC792" s="15">
        <f>H792*K792</f>
      </c>
      <c r="AD792" s="15">
        <f>H792*M792</f>
      </c>
      <c r="AE792" s="13">
        <f>H792*L792/100</f>
      </c>
      <c r="AF792" s="13">
        <f>AA792+AB792+AE792</f>
      </c>
      <c r="AG792" s="13">
        <f>I792+J792+L792</f>
      </c>
      <c r="AH792" s="18">
        <f>$H792*I792</f>
      </c>
      <c r="AI792" s="18">
        <f>$H792*J792</f>
      </c>
      <c r="AJ792" s="18">
        <f>$H792*K792</f>
      </c>
      <c r="AK792" s="18">
        <f>$H792*L792</f>
      </c>
      <c r="AL792" s="18">
        <f>$H792*M792</f>
      </c>
      <c r="AM792" s="14"/>
      <c r="AN792" s="14"/>
      <c r="AO792" s="14"/>
    </row>
    <row x14ac:dyDescent="0.25" r="793" customHeight="1" ht="17.25">
      <c r="A793" s="2" t="s">
        <v>1561</v>
      </c>
      <c r="B793" s="2" t="s">
        <v>1562</v>
      </c>
      <c r="C793" s="2" t="s">
        <v>1563</v>
      </c>
      <c r="D793" s="2"/>
      <c r="E793" s="2" t="s">
        <v>52</v>
      </c>
      <c r="F793" s="2" t="s">
        <v>1564</v>
      </c>
      <c r="G793" s="2" t="s">
        <v>1200</v>
      </c>
      <c r="H793" s="13">
        <f>0.17+0.37</f>
      </c>
      <c r="I793" s="13"/>
      <c r="J793" s="13">
        <f>(0.61*0.17+0.39*0.37)/$H793</f>
      </c>
      <c r="K793" s="15">
        <f>(24.95*0.17+11.72*0.37)/$H793</f>
      </c>
      <c r="L793" s="13">
        <f>(0.43*0.17+0.25*0.37)/$H793</f>
      </c>
      <c r="M793" s="13">
        <f>(2.11*0.17+1.42*0.37)/$H793</f>
      </c>
      <c r="N793" s="15"/>
      <c r="O793" s="16"/>
      <c r="P793" s="13"/>
      <c r="Q793" s="13"/>
      <c r="R793" s="17"/>
      <c r="S793" s="13"/>
      <c r="T793" s="17"/>
      <c r="U793" s="13"/>
      <c r="V793" s="16"/>
      <c r="W793" s="13"/>
      <c r="X793" s="13"/>
      <c r="Y793" s="14"/>
      <c r="Z793" s="2"/>
      <c r="AA793" s="13">
        <f>H793*I793/100</f>
      </c>
      <c r="AB793" s="13">
        <f>H793*J793/100</f>
      </c>
      <c r="AC793" s="15">
        <f>H793*K793</f>
      </c>
      <c r="AD793" s="15">
        <f>H793*M793</f>
      </c>
      <c r="AE793" s="13">
        <f>H793*L793/100</f>
      </c>
      <c r="AF793" s="13">
        <f>AA793+AB793+AE793</f>
      </c>
      <c r="AG793" s="13">
        <f>I793+J793+L793</f>
      </c>
      <c r="AH793" s="18">
        <f>$H793*I793</f>
      </c>
      <c r="AI793" s="18">
        <f>$H793*J793</f>
      </c>
      <c r="AJ793" s="18">
        <f>$H793*K793</f>
      </c>
      <c r="AK793" s="18">
        <f>$H793*L793</f>
      </c>
      <c r="AL793" s="18">
        <f>$H793*M793</f>
      </c>
      <c r="AM793" s="14"/>
      <c r="AN793" s="14"/>
      <c r="AO793" s="14"/>
    </row>
    <row x14ac:dyDescent="0.25" r="794" customHeight="1" ht="17.25">
      <c r="A794" s="2" t="s">
        <v>1565</v>
      </c>
      <c r="B794" s="2" t="s">
        <v>1562</v>
      </c>
      <c r="C794" s="2" t="s">
        <v>1563</v>
      </c>
      <c r="D794" s="2" t="s">
        <v>1167</v>
      </c>
      <c r="E794" s="2" t="s">
        <v>52</v>
      </c>
      <c r="F794" s="2" t="s">
        <v>1122</v>
      </c>
      <c r="G794" s="2" t="s">
        <v>108</v>
      </c>
      <c r="H794" s="13">
        <f>0.84+6.8+0.05+0.48+4.44</f>
      </c>
      <c r="I794" s="15">
        <f>(0.1*0.84+0.4*6.8+0.2*0.05+0.2*0.48+0.2*4.44)/$H794</f>
      </c>
      <c r="J794" s="15">
        <f>(1.7*0.84+6.7*6.8+4.2*0.05+2.8*0.48+3.7*4.44)/$H794</f>
      </c>
      <c r="K794" s="17">
        <f>(24*0.84+43*6.8+45*0.05+22*0.48+36*4.44)/$H794</f>
      </c>
      <c r="L794" s="15">
        <f>(1.3*0.84+0.5*6.8+1.3*0.05+1.1*0.48+0.8*4.44)/$H794</f>
      </c>
      <c r="M794" s="15">
        <f>(1.1*0.84+0.6*6.8+0.7*0.05+1*0.48+0.7*4.44)/$H794</f>
      </c>
      <c r="N794" s="15"/>
      <c r="O794" s="16"/>
      <c r="P794" s="13"/>
      <c r="Q794" s="13"/>
      <c r="R794" s="17"/>
      <c r="S794" s="13"/>
      <c r="T794" s="17"/>
      <c r="U794" s="13"/>
      <c r="V794" s="16"/>
      <c r="W794" s="13"/>
      <c r="X794" s="13"/>
      <c r="Y794" s="14"/>
      <c r="Z794" s="2"/>
      <c r="AA794" s="13">
        <f>H794*I794/100</f>
      </c>
      <c r="AB794" s="13">
        <f>H794*J794/100</f>
      </c>
      <c r="AC794" s="15">
        <f>H794*K794</f>
      </c>
      <c r="AD794" s="15">
        <f>H794*M794</f>
      </c>
      <c r="AE794" s="13">
        <f>H794*L794/100</f>
      </c>
      <c r="AF794" s="13">
        <f>AA794+AB794+AE794</f>
      </c>
      <c r="AG794" s="13">
        <f>I794+J794+L794</f>
      </c>
      <c r="AH794" s="18">
        <f>$H794*I794</f>
      </c>
      <c r="AI794" s="18">
        <f>$H794*J794</f>
      </c>
      <c r="AJ794" s="18">
        <f>$H794*K794</f>
      </c>
      <c r="AK794" s="18">
        <f>$H794*L794</f>
      </c>
      <c r="AL794" s="18">
        <f>$H794*M794</f>
      </c>
      <c r="AM794" s="14"/>
      <c r="AN794" s="14"/>
      <c r="AO794" s="14"/>
    </row>
    <row x14ac:dyDescent="0.25" r="795" customHeight="1" ht="17.25">
      <c r="A795" s="2" t="s">
        <v>1566</v>
      </c>
      <c r="B795" s="2" t="s">
        <v>1562</v>
      </c>
      <c r="C795" s="2" t="s">
        <v>50</v>
      </c>
      <c r="D795" s="2"/>
      <c r="E795" s="2" t="s">
        <v>52</v>
      </c>
      <c r="F795" s="2" t="s">
        <v>1122</v>
      </c>
      <c r="G795" s="2" t="s">
        <v>108</v>
      </c>
      <c r="H795" s="13">
        <f>1.4+1.05+0.36</f>
      </c>
      <c r="I795" s="15">
        <f>(0.4*1.4+0.2*1.05+0.2*0.36)/$H795</f>
      </c>
      <c r="J795" s="15">
        <f>(3.9*1.4+3.3*1.05+2.9*0.36)/$H795</f>
      </c>
      <c r="K795" s="17">
        <f>(56*1.4+40*1.05+45*0.36)/$H795</f>
      </c>
      <c r="L795" s="15">
        <f>(0.3*1.4+0.4*1.05+0.7*0.36)/$H795</f>
      </c>
      <c r="M795" s="15">
        <f>(1.5*1.4+1.3*1.05+0.9*0.36)/$H795</f>
      </c>
      <c r="N795" s="15"/>
      <c r="O795" s="16"/>
      <c r="P795" s="13"/>
      <c r="Q795" s="13"/>
      <c r="R795" s="17"/>
      <c r="S795" s="13"/>
      <c r="T795" s="17"/>
      <c r="U795" s="13"/>
      <c r="V795" s="16"/>
      <c r="W795" s="13"/>
      <c r="X795" s="13"/>
      <c r="Y795" s="14"/>
      <c r="Z795" s="2"/>
      <c r="AA795" s="13">
        <f>H795*I795/100</f>
      </c>
      <c r="AB795" s="13">
        <f>H795*J795/100</f>
      </c>
      <c r="AC795" s="15">
        <f>H795*K795</f>
      </c>
      <c r="AD795" s="15">
        <f>H795*M795</f>
      </c>
      <c r="AE795" s="13">
        <f>H795*L795/100</f>
      </c>
      <c r="AF795" s="13">
        <f>AA795+AB795+AE795</f>
      </c>
      <c r="AG795" s="13">
        <f>I795+J795+L795</f>
      </c>
      <c r="AH795" s="18">
        <f>$H795*I795</f>
      </c>
      <c r="AI795" s="18">
        <f>$H795*J795</f>
      </c>
      <c r="AJ795" s="18">
        <f>$H795*K795</f>
      </c>
      <c r="AK795" s="18">
        <f>$H795*L795</f>
      </c>
      <c r="AL795" s="18">
        <f>$H795*M795</f>
      </c>
      <c r="AM795" s="14"/>
      <c r="AN795" s="14"/>
      <c r="AO795" s="14"/>
    </row>
    <row x14ac:dyDescent="0.25" r="796" customHeight="1" ht="17.25">
      <c r="A796" s="2" t="s">
        <v>1567</v>
      </c>
      <c r="B796" s="2" t="s">
        <v>1562</v>
      </c>
      <c r="C796" s="2" t="s">
        <v>50</v>
      </c>
      <c r="D796" s="2"/>
      <c r="E796" s="2" t="s">
        <v>52</v>
      </c>
      <c r="F796" s="2" t="s">
        <v>1122</v>
      </c>
      <c r="G796" s="2" t="s">
        <v>108</v>
      </c>
      <c r="H796" s="13">
        <f>0.2+0.36</f>
      </c>
      <c r="I796" s="13"/>
      <c r="J796" s="15">
        <f>(0*0.2+0.2*0.36)/$H796</f>
      </c>
      <c r="K796" s="17">
        <f>(7*0.2+11*0.36)/$H796</f>
      </c>
      <c r="L796" s="15">
        <f>(1*0.2+0.4*0.36)/$H796</f>
      </c>
      <c r="M796" s="15">
        <f>(0.3*0.2+0.4*0.36)/$H796</f>
      </c>
      <c r="N796" s="15"/>
      <c r="O796" s="16"/>
      <c r="P796" s="13"/>
      <c r="Q796" s="13"/>
      <c r="R796" s="17"/>
      <c r="S796" s="13"/>
      <c r="T796" s="17"/>
      <c r="U796" s="13"/>
      <c r="V796" s="16"/>
      <c r="W796" s="13"/>
      <c r="X796" s="13"/>
      <c r="Y796" s="14"/>
      <c r="Z796" s="2"/>
      <c r="AA796" s="13">
        <f>H796*I796/100</f>
      </c>
      <c r="AB796" s="13">
        <f>H796*J796/100</f>
      </c>
      <c r="AC796" s="15">
        <f>H796*K796</f>
      </c>
      <c r="AD796" s="15">
        <f>H796*M796</f>
      </c>
      <c r="AE796" s="13">
        <f>H796*L796/100</f>
      </c>
      <c r="AF796" s="13">
        <f>AA796+AB796+AE796</f>
      </c>
      <c r="AG796" s="13">
        <f>I796+J796+L796</f>
      </c>
      <c r="AH796" s="18">
        <f>$H796*I796</f>
      </c>
      <c r="AI796" s="18">
        <f>$H796*J796</f>
      </c>
      <c r="AJ796" s="18">
        <f>$H796*K796</f>
      </c>
      <c r="AK796" s="18">
        <f>$H796*L796</f>
      </c>
      <c r="AL796" s="18">
        <f>$H796*M796</f>
      </c>
      <c r="AM796" s="14"/>
      <c r="AN796" s="14"/>
      <c r="AO796" s="14"/>
    </row>
    <row x14ac:dyDescent="0.25" r="797" customHeight="1" ht="17.25">
      <c r="A797" s="2" t="s">
        <v>1568</v>
      </c>
      <c r="B797" s="2" t="s">
        <v>1562</v>
      </c>
      <c r="C797" s="2" t="s">
        <v>50</v>
      </c>
      <c r="D797" s="2"/>
      <c r="E797" s="2" t="s">
        <v>52</v>
      </c>
      <c r="F797" s="2" t="s">
        <v>1122</v>
      </c>
      <c r="G797" s="2" t="s">
        <v>108</v>
      </c>
      <c r="H797" s="13">
        <f>0.31+1.2+0.72</f>
      </c>
      <c r="I797" s="15">
        <f>(0.3*0.31+0.3*1.2+0.2*0.72)/$H797</f>
      </c>
      <c r="J797" s="15">
        <f>(3.1*0.31+1.8*1.2+1.2*0.72)/$H797</f>
      </c>
      <c r="K797" s="17">
        <f>(73*0.31+52*1.2+33*0.72)/$H797</f>
      </c>
      <c r="L797" s="15">
        <f>(1.8*0.31+0.6*1.2+0.5*0.72)/$H797</f>
      </c>
      <c r="M797" s="15">
        <f>(8.1*0.31+2.7*1.2+3.3*0.72)/$H797</f>
      </c>
      <c r="N797" s="15"/>
      <c r="O797" s="16"/>
      <c r="P797" s="13"/>
      <c r="Q797" s="13"/>
      <c r="R797" s="17"/>
      <c r="S797" s="13"/>
      <c r="T797" s="17"/>
      <c r="U797" s="13"/>
      <c r="V797" s="16"/>
      <c r="W797" s="13"/>
      <c r="X797" s="13"/>
      <c r="Y797" s="14"/>
      <c r="Z797" s="2"/>
      <c r="AA797" s="13">
        <f>H797*I797/100</f>
      </c>
      <c r="AB797" s="13">
        <f>H797*J797/100</f>
      </c>
      <c r="AC797" s="15">
        <f>H797*K797</f>
      </c>
      <c r="AD797" s="15">
        <f>H797*M797</f>
      </c>
      <c r="AE797" s="13">
        <f>H797*L797/100</f>
      </c>
      <c r="AF797" s="13">
        <f>AA797+AB797+AE797</f>
      </c>
      <c r="AG797" s="13">
        <f>I797+J797+L797</f>
      </c>
      <c r="AH797" s="18">
        <f>$H797*I797</f>
      </c>
      <c r="AI797" s="18">
        <f>$H797*J797</f>
      </c>
      <c r="AJ797" s="18">
        <f>$H797*K797</f>
      </c>
      <c r="AK797" s="18">
        <f>$H797*L797</f>
      </c>
      <c r="AL797" s="18">
        <f>$H797*M797</f>
      </c>
      <c r="AM797" s="14"/>
      <c r="AN797" s="14"/>
      <c r="AO797" s="14"/>
    </row>
    <row x14ac:dyDescent="0.25" r="798" customHeight="1" ht="17.25">
      <c r="A798" s="2" t="s">
        <v>1569</v>
      </c>
      <c r="B798" s="2" t="s">
        <v>1562</v>
      </c>
      <c r="C798" s="2" t="s">
        <v>50</v>
      </c>
      <c r="D798" s="2"/>
      <c r="E798" s="2" t="s">
        <v>52</v>
      </c>
      <c r="F798" s="2" t="s">
        <v>1122</v>
      </c>
      <c r="G798" s="2" t="s">
        <v>108</v>
      </c>
      <c r="H798" s="13">
        <f>0.15+3.36+1.22+2.95</f>
      </c>
      <c r="I798" s="15">
        <f>(1.3*0.15+1*3.36+0.8*1.22+1.7*2.95)/$H798</f>
      </c>
      <c r="J798" s="15">
        <f>(13.6*0.15+6.4*3.36+4.6*1.22+8.5*2.95)/$H798</f>
      </c>
      <c r="K798" s="17">
        <f>(127*0.15+149*3.36+85*1.22+160*2.95)/$H798</f>
      </c>
      <c r="L798" s="15">
        <f>(0.9*0.15+0.8*3.36+0.4*1.22+0.3*2.95)/$H798</f>
      </c>
      <c r="M798" s="15">
        <f>(1.8*0.15+2.8*3.36+1.9*1.22+3.2*2.95)/$H798</f>
      </c>
      <c r="N798" s="15"/>
      <c r="O798" s="16"/>
      <c r="P798" s="13"/>
      <c r="Q798" s="13"/>
      <c r="R798" s="17"/>
      <c r="S798" s="13"/>
      <c r="T798" s="17"/>
      <c r="U798" s="13"/>
      <c r="V798" s="16"/>
      <c r="W798" s="13"/>
      <c r="X798" s="13"/>
      <c r="Y798" s="14"/>
      <c r="Z798" s="2"/>
      <c r="AA798" s="13">
        <f>H798*I798/100</f>
      </c>
      <c r="AB798" s="13">
        <f>H798*J798/100</f>
      </c>
      <c r="AC798" s="15">
        <f>H798*K798</f>
      </c>
      <c r="AD798" s="15">
        <f>H798*M798</f>
      </c>
      <c r="AE798" s="13">
        <f>H798*L798/100</f>
      </c>
      <c r="AF798" s="13">
        <f>AA798+AB798+AE798</f>
      </c>
      <c r="AG798" s="13">
        <f>I798+J798+L798</f>
      </c>
      <c r="AH798" s="18">
        <f>$H798*I798</f>
      </c>
      <c r="AI798" s="18">
        <f>$H798*J798</f>
      </c>
      <c r="AJ798" s="18">
        <f>$H798*K798</f>
      </c>
      <c r="AK798" s="18">
        <f>$H798*L798</f>
      </c>
      <c r="AL798" s="18">
        <f>$H798*M798</f>
      </c>
      <c r="AM798" s="14"/>
      <c r="AN798" s="14"/>
      <c r="AO798" s="14"/>
    </row>
    <row x14ac:dyDescent="0.25" r="799" customHeight="1" ht="17.25">
      <c r="A799" s="2" t="s">
        <v>1570</v>
      </c>
      <c r="B799" s="2" t="s">
        <v>1562</v>
      </c>
      <c r="C799" s="2" t="s">
        <v>50</v>
      </c>
      <c r="D799" s="2"/>
      <c r="E799" s="2" t="s">
        <v>52</v>
      </c>
      <c r="F799" s="2" t="s">
        <v>1122</v>
      </c>
      <c r="G799" s="2" t="s">
        <v>108</v>
      </c>
      <c r="H799" s="13">
        <f>14.9+21.4+2.8+15.8+19.5</f>
      </c>
      <c r="I799" s="15">
        <f>(2.2*14.9+1.7*21.4+1.7*2.8+1.7*15.8+1.6*19.5)/$H799</f>
      </c>
      <c r="J799" s="15">
        <f>(5.5*14.9+3.9*21.4+3.8*2.8+3.4*15.8+3.2*19.5)/$H799</f>
      </c>
      <c r="K799" s="17">
        <f>(116*14.9+143*21.4+98*2.8+131*15.8+113*19.5)/$H799</f>
      </c>
      <c r="L799" s="13">
        <f>(0.06*14.9+0.04*21.4+0.06*2.8+0.05*15.8+0.07*19.5)/$H799</f>
      </c>
      <c r="M799" s="15">
        <f>(0.3*14.9+0.3*21.4+0.3*2.8+0.4*15.8+0.5*19.5)/$H799</f>
      </c>
      <c r="N799" s="15"/>
      <c r="O799" s="16"/>
      <c r="P799" s="13"/>
      <c r="Q799" s="13"/>
      <c r="R799" s="17"/>
      <c r="S799" s="13"/>
      <c r="T799" s="17"/>
      <c r="U799" s="13"/>
      <c r="V799" s="16"/>
      <c r="W799" s="13"/>
      <c r="X799" s="13"/>
      <c r="Y799" s="14"/>
      <c r="Z799" s="2"/>
      <c r="AA799" s="13">
        <f>H799*I799/100</f>
      </c>
      <c r="AB799" s="13">
        <f>H799*J799/100</f>
      </c>
      <c r="AC799" s="15">
        <f>H799*K799</f>
      </c>
      <c r="AD799" s="15">
        <f>H799*M799</f>
      </c>
      <c r="AE799" s="13">
        <f>H799*L799/100</f>
      </c>
      <c r="AF799" s="13">
        <f>AA799+AB799+AE799</f>
      </c>
      <c r="AG799" s="13">
        <f>I799+J799+L799</f>
      </c>
      <c r="AH799" s="18">
        <f>$H799*I799</f>
      </c>
      <c r="AI799" s="18">
        <f>$H799*J799</f>
      </c>
      <c r="AJ799" s="18">
        <f>$H799*K799</f>
      </c>
      <c r="AK799" s="18">
        <f>$H799*L799</f>
      </c>
      <c r="AL799" s="18">
        <f>$H799*M799</f>
      </c>
      <c r="AM799" s="14"/>
      <c r="AN799" s="14"/>
      <c r="AO799" s="14"/>
    </row>
    <row x14ac:dyDescent="0.25" r="800" customHeight="1" ht="17.25">
      <c r="A800" s="2" t="s">
        <v>1571</v>
      </c>
      <c r="B800" s="2" t="s">
        <v>1562</v>
      </c>
      <c r="C800" s="2" t="s">
        <v>1572</v>
      </c>
      <c r="D800" s="2"/>
      <c r="E800" s="2" t="s">
        <v>52</v>
      </c>
      <c r="F800" s="2" t="s">
        <v>1573</v>
      </c>
      <c r="G800" s="2" t="s">
        <v>108</v>
      </c>
      <c r="H800" s="14">
        <v>2350</v>
      </c>
      <c r="I800" s="13"/>
      <c r="J800" s="16">
        <v>0.0431</v>
      </c>
      <c r="K800" s="14"/>
      <c r="L800" s="13"/>
      <c r="M800" s="13"/>
      <c r="N800" s="15"/>
      <c r="O800" s="16">
        <v>0.0316</v>
      </c>
      <c r="P800" s="13"/>
      <c r="Q800" s="13"/>
      <c r="R800" s="17"/>
      <c r="S800" s="13">
        <v>0.0207</v>
      </c>
      <c r="T800" s="17"/>
      <c r="U800" s="13"/>
      <c r="V800" s="16">
        <v>0.0155</v>
      </c>
      <c r="W800" s="13"/>
      <c r="X800" s="13">
        <v>0.1519</v>
      </c>
      <c r="Y800" s="14"/>
      <c r="Z800" s="2"/>
      <c r="AA800" s="13">
        <f>H800*I800/100</f>
      </c>
      <c r="AB800" s="13">
        <f>H800*J800/100</f>
      </c>
      <c r="AC800" s="15">
        <f>H800*K800</f>
      </c>
      <c r="AD800" s="15">
        <f>H800*M800</f>
      </c>
      <c r="AE800" s="13">
        <f>H800*L800/100</f>
      </c>
      <c r="AF800" s="13">
        <f>AA800+AB800+AE800</f>
      </c>
      <c r="AG800" s="13">
        <f>I800+J800+L800</f>
      </c>
      <c r="AH800" s="18">
        <f>$H800*I800</f>
      </c>
      <c r="AI800" s="18">
        <f>$H800*J800</f>
      </c>
      <c r="AJ800" s="18">
        <f>$H800*K800</f>
      </c>
      <c r="AK800" s="18">
        <f>$H800*L800</f>
      </c>
      <c r="AL800" s="18">
        <f>$H800*M800</f>
      </c>
      <c r="AM800" s="14"/>
      <c r="AN800" s="14"/>
      <c r="AO800" s="14"/>
    </row>
    <row x14ac:dyDescent="0.25" r="801" customHeight="1" ht="17.25">
      <c r="A801" s="2" t="s">
        <v>1574</v>
      </c>
      <c r="B801" s="2" t="s">
        <v>1562</v>
      </c>
      <c r="C801" s="2" t="s">
        <v>40</v>
      </c>
      <c r="D801" s="2" t="s">
        <v>64</v>
      </c>
      <c r="E801" s="12" t="s">
        <v>42</v>
      </c>
      <c r="F801" s="2" t="s">
        <v>43</v>
      </c>
      <c r="G801" s="2" t="s">
        <v>46</v>
      </c>
      <c r="H801" s="13">
        <v>0.55</v>
      </c>
      <c r="I801" s="13">
        <v>2.6</v>
      </c>
      <c r="J801" s="13">
        <v>4.5</v>
      </c>
      <c r="K801" s="14">
        <v>12</v>
      </c>
      <c r="L801" s="13">
        <v>0.2</v>
      </c>
      <c r="M801" s="13"/>
      <c r="N801" s="15"/>
      <c r="O801" s="16"/>
      <c r="P801" s="13"/>
      <c r="Q801" s="13"/>
      <c r="R801" s="17"/>
      <c r="S801" s="13"/>
      <c r="T801" s="17"/>
      <c r="U801" s="13"/>
      <c r="V801" s="16"/>
      <c r="W801" s="13"/>
      <c r="X801" s="13"/>
      <c r="Y801" s="14"/>
      <c r="Z801" s="2"/>
      <c r="AA801" s="13">
        <f>H801*I801/100</f>
      </c>
      <c r="AB801" s="13">
        <f>H801*J801/100</f>
      </c>
      <c r="AC801" s="15">
        <f>H801*K801</f>
      </c>
      <c r="AD801" s="15">
        <f>H801*M801</f>
      </c>
      <c r="AE801" s="13">
        <f>H801*L801/100</f>
      </c>
      <c r="AF801" s="13">
        <f>AA801+AB801+AE801</f>
      </c>
      <c r="AG801" s="13">
        <f>I801+J801+L801</f>
      </c>
      <c r="AH801" s="18">
        <f>$H801*I801</f>
      </c>
      <c r="AI801" s="18">
        <f>$H801*J801</f>
      </c>
      <c r="AJ801" s="18">
        <f>$H801*K801</f>
      </c>
      <c r="AK801" s="18">
        <f>$H801*L801</f>
      </c>
      <c r="AL801" s="18">
        <f>$H801*M801</f>
      </c>
      <c r="AM801" s="14"/>
      <c r="AN801" s="14"/>
      <c r="AO801" s="14"/>
    </row>
    <row x14ac:dyDescent="0.25" r="802" customHeight="1" ht="17.25">
      <c r="A802" s="2" t="s">
        <v>1575</v>
      </c>
      <c r="B802" s="2" t="s">
        <v>1562</v>
      </c>
      <c r="C802" s="2" t="s">
        <v>50</v>
      </c>
      <c r="D802" s="2"/>
      <c r="E802" s="2" t="s">
        <v>52</v>
      </c>
      <c r="F802" s="2" t="s">
        <v>1122</v>
      </c>
      <c r="G802" s="2" t="s">
        <v>108</v>
      </c>
      <c r="H802" s="15">
        <f>0.8+9.2</f>
      </c>
      <c r="I802" s="15">
        <f>(0.9*0.8+0.4*9.2)/$H802</f>
      </c>
      <c r="J802" s="15">
        <f>(4.4*0.8+4*9.2)/$H802</f>
      </c>
      <c r="K802" s="17">
        <f>(102*0.8+48*9.2)/$H802</f>
      </c>
      <c r="L802" s="15">
        <f>(2.1*0.8+1.8*9.2)/$H802</f>
      </c>
      <c r="M802" s="13">
        <f>(0.08*0.8+0.06*9.2)/$H802</f>
      </c>
      <c r="N802" s="15"/>
      <c r="O802" s="16"/>
      <c r="P802" s="13"/>
      <c r="Q802" s="13"/>
      <c r="R802" s="17"/>
      <c r="S802" s="13"/>
      <c r="T802" s="17"/>
      <c r="U802" s="13"/>
      <c r="V802" s="16"/>
      <c r="W802" s="13"/>
      <c r="X802" s="13"/>
      <c r="Y802" s="14"/>
      <c r="Z802" s="2"/>
      <c r="AA802" s="13">
        <f>H802*I802/100</f>
      </c>
      <c r="AB802" s="13">
        <f>H802*J802/100</f>
      </c>
      <c r="AC802" s="15">
        <f>H802*K802</f>
      </c>
      <c r="AD802" s="15">
        <f>H802*M802</f>
      </c>
      <c r="AE802" s="13">
        <f>H802*L802/100</f>
      </c>
      <c r="AF802" s="13">
        <f>AA802+AB802+AE802</f>
      </c>
      <c r="AG802" s="13">
        <f>I802+J802+L802</f>
      </c>
      <c r="AH802" s="18">
        <f>$H802*I802</f>
      </c>
      <c r="AI802" s="18">
        <f>$H802*J802</f>
      </c>
      <c r="AJ802" s="18">
        <f>$H802*K802</f>
      </c>
      <c r="AK802" s="18">
        <f>$H802*L802</f>
      </c>
      <c r="AL802" s="18">
        <f>$H802*M802</f>
      </c>
      <c r="AM802" s="14"/>
      <c r="AN802" s="14"/>
      <c r="AO802" s="14"/>
    </row>
    <row x14ac:dyDescent="0.25" r="803" customHeight="1" ht="17.25">
      <c r="A803" s="2" t="s">
        <v>1576</v>
      </c>
      <c r="B803" s="2" t="s">
        <v>1562</v>
      </c>
      <c r="C803" s="2" t="s">
        <v>1572</v>
      </c>
      <c r="D803" s="2"/>
      <c r="E803" s="2" t="s">
        <v>52</v>
      </c>
      <c r="F803" s="2" t="s">
        <v>1577</v>
      </c>
      <c r="G803" s="2" t="s">
        <v>750</v>
      </c>
      <c r="H803" s="14">
        <f>43+3019</f>
      </c>
      <c r="I803" s="15"/>
      <c r="J803" s="16">
        <f>(0.041*43+0.042*3019)/$H803</f>
      </c>
      <c r="K803" s="17"/>
      <c r="L803" s="16">
        <f>(0.01*43+0.012*3019)/$H803</f>
      </c>
      <c r="M803" s="13"/>
      <c r="N803" s="15"/>
      <c r="O803" s="16">
        <f>(0.034*43+0.034*3019)/$H803</f>
      </c>
      <c r="P803" s="13"/>
      <c r="Q803" s="13"/>
      <c r="R803" s="17"/>
      <c r="S803" s="13"/>
      <c r="T803" s="17"/>
      <c r="U803" s="13"/>
      <c r="V803" s="16">
        <f>(0.019*43+0.017*3019)/$H803</f>
      </c>
      <c r="W803" s="13"/>
      <c r="X803" s="13"/>
      <c r="Y803" s="14"/>
      <c r="Z803" s="2"/>
      <c r="AA803" s="13">
        <f>H803*I803/100</f>
      </c>
      <c r="AB803" s="13">
        <f>H803*J803/100</f>
      </c>
      <c r="AC803" s="15">
        <f>H803*K803</f>
      </c>
      <c r="AD803" s="15">
        <f>H803*M803</f>
      </c>
      <c r="AE803" s="13">
        <f>H803*L803/100</f>
      </c>
      <c r="AF803" s="13">
        <f>AA803+AB803+AE803</f>
      </c>
      <c r="AG803" s="13">
        <f>I803+J803+L803</f>
      </c>
      <c r="AH803" s="18">
        <f>$H803*I803</f>
      </c>
      <c r="AI803" s="18">
        <f>$H803*J803</f>
      </c>
      <c r="AJ803" s="18">
        <f>$H803*K803</f>
      </c>
      <c r="AK803" s="18">
        <f>$H803*L803</f>
      </c>
      <c r="AL803" s="18">
        <f>$H803*M803</f>
      </c>
      <c r="AM803" s="14"/>
      <c r="AN803" s="14"/>
      <c r="AO803" s="14"/>
    </row>
    <row x14ac:dyDescent="0.25" r="804" customHeight="1" ht="17.25">
      <c r="A804" s="2" t="s">
        <v>1578</v>
      </c>
      <c r="B804" s="2" t="s">
        <v>1562</v>
      </c>
      <c r="C804" s="2" t="s">
        <v>1287</v>
      </c>
      <c r="D804" s="2"/>
      <c r="E804" s="2" t="s">
        <v>52</v>
      </c>
      <c r="F804" s="2" t="s">
        <v>1579</v>
      </c>
      <c r="G804" s="2" t="s">
        <v>1580</v>
      </c>
      <c r="H804" s="13">
        <f>21.61+19.65</f>
      </c>
      <c r="I804" s="13"/>
      <c r="J804" s="13">
        <f>(0.28*21.61+0.09*19.65)/$H804</f>
      </c>
      <c r="K804" s="13">
        <f>(5.13*21.61+0.26*19.65)/$H804</f>
      </c>
      <c r="L804" s="13">
        <f>(1.49*21.61+0.76*19.65)/$H804</f>
      </c>
      <c r="M804" s="13">
        <f>(0*21.61+0.02*19.65)/$H804</f>
      </c>
      <c r="N804" s="15"/>
      <c r="O804" s="16"/>
      <c r="P804" s="13"/>
      <c r="Q804" s="13"/>
      <c r="R804" s="17"/>
      <c r="S804" s="13"/>
      <c r="T804" s="17"/>
      <c r="U804" s="13"/>
      <c r="V804" s="16"/>
      <c r="W804" s="13"/>
      <c r="X804" s="13"/>
      <c r="Y804" s="14"/>
      <c r="Z804" s="2"/>
      <c r="AA804" s="13">
        <f>H804*I804/100</f>
      </c>
      <c r="AB804" s="13">
        <f>H804*J804/100</f>
      </c>
      <c r="AC804" s="15">
        <f>H804*K804</f>
      </c>
      <c r="AD804" s="15">
        <f>H804*M804</f>
      </c>
      <c r="AE804" s="13">
        <f>H804*L804/100</f>
      </c>
      <c r="AF804" s="13">
        <f>AA804+AB804+AE804</f>
      </c>
      <c r="AG804" s="13">
        <f>I804+J804+L804</f>
      </c>
      <c r="AH804" s="18">
        <f>$H804*I804</f>
      </c>
      <c r="AI804" s="18">
        <f>$H804*J804</f>
      </c>
      <c r="AJ804" s="18">
        <f>$H804*K804</f>
      </c>
      <c r="AK804" s="18">
        <f>$H804*L804</f>
      </c>
      <c r="AL804" s="18">
        <f>$H804*M804</f>
      </c>
      <c r="AM804" s="14"/>
      <c r="AN804" s="14"/>
      <c r="AO804" s="14"/>
    </row>
    <row x14ac:dyDescent="0.25" r="805" customHeight="1" ht="17.25">
      <c r="A805" s="2" t="s">
        <v>1581</v>
      </c>
      <c r="B805" s="2" t="s">
        <v>1562</v>
      </c>
      <c r="C805" s="2" t="s">
        <v>40</v>
      </c>
      <c r="D805" s="2" t="s">
        <v>64</v>
      </c>
      <c r="E805" s="2" t="s">
        <v>52</v>
      </c>
      <c r="F805" s="2" t="s">
        <v>1445</v>
      </c>
      <c r="G805" s="2" t="s">
        <v>66</v>
      </c>
      <c r="H805" s="13">
        <f>5.02+0.624+0.616+8.524+6.426+4.988</f>
      </c>
      <c r="I805" s="15">
        <f>(0*5.02+0*0.624+0*0.616+4.8*8.524+4.2*6.426+3.2*4.988)/$H805</f>
      </c>
      <c r="J805" s="15">
        <f>(0.4*5.02+0.3*0.624+0.5*0.616+11.3*8.524+9.3*6.426+8.7*4.988)/$H805</f>
      </c>
      <c r="K805" s="17">
        <f>(30*5.02+37*0.624+34*0.616+103*8.524+93*6.426+83*4.988)/$H805</f>
      </c>
      <c r="L805" s="15">
        <f>(2.2*5.02+2.4*0.624+1.8*0.616+0*8.524+0*6.426+0*4.988)/$H805</f>
      </c>
      <c r="M805" s="13"/>
      <c r="N805" s="15"/>
      <c r="O805" s="16"/>
      <c r="P805" s="13"/>
      <c r="Q805" s="13"/>
      <c r="R805" s="17"/>
      <c r="S805" s="13"/>
      <c r="T805" s="17"/>
      <c r="U805" s="13"/>
      <c r="V805" s="16"/>
      <c r="W805" s="13"/>
      <c r="X805" s="13"/>
      <c r="Y805" s="14"/>
      <c r="Z805" s="2"/>
      <c r="AA805" s="13">
        <f>H805*I805/100</f>
      </c>
      <c r="AB805" s="13">
        <f>H805*J805/100</f>
      </c>
      <c r="AC805" s="15">
        <f>H805*K805</f>
      </c>
      <c r="AD805" s="15">
        <f>H805*M805</f>
      </c>
      <c r="AE805" s="13">
        <f>H805*L805/100</f>
      </c>
      <c r="AF805" s="13">
        <f>AA805+AB805+AE805</f>
      </c>
      <c r="AG805" s="13">
        <f>I805+J805+L805</f>
      </c>
      <c r="AH805" s="18">
        <f>$H805*I805</f>
      </c>
      <c r="AI805" s="18">
        <f>$H805*J805</f>
      </c>
      <c r="AJ805" s="18">
        <f>$H805*K805</f>
      </c>
      <c r="AK805" s="18">
        <f>$H805*L805</f>
      </c>
      <c r="AL805" s="18">
        <f>$H805*M805</f>
      </c>
      <c r="AM805" s="14"/>
      <c r="AN805" s="14"/>
      <c r="AO805" s="14"/>
    </row>
    <row x14ac:dyDescent="0.25" r="806" customHeight="1" ht="17.25">
      <c r="A806" s="2" t="s">
        <v>1582</v>
      </c>
      <c r="B806" s="2" t="s">
        <v>1583</v>
      </c>
      <c r="C806" s="2" t="s">
        <v>189</v>
      </c>
      <c r="D806" s="2"/>
      <c r="E806" s="12" t="s">
        <v>42</v>
      </c>
      <c r="F806" s="2" t="s">
        <v>1584</v>
      </c>
      <c r="G806" s="2" t="s">
        <v>877</v>
      </c>
      <c r="H806" s="14">
        <v>961</v>
      </c>
      <c r="I806" s="15">
        <v>0.5</v>
      </c>
      <c r="J806" s="15">
        <v>0.4</v>
      </c>
      <c r="K806" s="17">
        <v>52</v>
      </c>
      <c r="L806" s="15"/>
      <c r="M806" s="13"/>
      <c r="N806" s="15"/>
      <c r="O806" s="16"/>
      <c r="P806" s="13"/>
      <c r="Q806" s="13"/>
      <c r="R806" s="17"/>
      <c r="S806" s="13"/>
      <c r="T806" s="17"/>
      <c r="U806" s="13"/>
      <c r="V806" s="16"/>
      <c r="W806" s="13"/>
      <c r="X806" s="13"/>
      <c r="Y806" s="14"/>
      <c r="Z806" s="2"/>
      <c r="AA806" s="13">
        <f>H806*I806/100</f>
      </c>
      <c r="AB806" s="13">
        <f>H806*J806/100</f>
      </c>
      <c r="AC806" s="15">
        <f>H806*K806</f>
      </c>
      <c r="AD806" s="15">
        <f>H806*M806</f>
      </c>
      <c r="AE806" s="13">
        <f>H806*L806/100</f>
      </c>
      <c r="AF806" s="13">
        <f>AA806+AB806+AE806</f>
      </c>
      <c r="AG806" s="13">
        <f>I806+J806+L806</f>
      </c>
      <c r="AH806" s="18">
        <f>$H806*I806</f>
      </c>
      <c r="AI806" s="18">
        <f>$H806*J806</f>
      </c>
      <c r="AJ806" s="18">
        <f>$H806*K806</f>
      </c>
      <c r="AK806" s="18">
        <f>$H806*L806</f>
      </c>
      <c r="AL806" s="18">
        <f>$H806*M806</f>
      </c>
      <c r="AM806" s="14"/>
      <c r="AN806" s="14"/>
      <c r="AO806" s="14"/>
    </row>
    <row x14ac:dyDescent="0.25" r="807" customHeight="1" ht="17.25">
      <c r="A807" s="2" t="s">
        <v>1585</v>
      </c>
      <c r="B807" s="2" t="s">
        <v>1586</v>
      </c>
      <c r="C807" s="2" t="s">
        <v>50</v>
      </c>
      <c r="D807" s="2"/>
      <c r="E807" s="2" t="s">
        <v>52</v>
      </c>
      <c r="F807" s="2" t="s">
        <v>1587</v>
      </c>
      <c r="G807" s="2" t="s">
        <v>750</v>
      </c>
      <c r="H807" s="13">
        <f>0.29+1.841+0.398+2.583+0.939</f>
      </c>
      <c r="I807" s="13"/>
      <c r="J807" s="13">
        <f>(0.02*0.29+1.65*1.841+0.07*0.398+1.42*2.583+2.92*0.939)/$H807</f>
      </c>
      <c r="K807" s="15">
        <f>(10.5*0.29+17.5*1.841+7.2*0.398+20.6*2.583+15.6*0.939)/$H807</f>
      </c>
      <c r="L807" s="13">
        <f>(0.06*0.29+2.2*1.841+0.13*0.398+1.09*2.583+0.69*0.939)/$H807</f>
      </c>
      <c r="M807" s="13">
        <f>(2.55*0.29+1.06*1.841+4.77*0.398+0.96*2.583+0.84*0.939)/$H807</f>
      </c>
      <c r="N807" s="15"/>
      <c r="O807" s="16"/>
      <c r="P807" s="13"/>
      <c r="Q807" s="13"/>
      <c r="R807" s="17"/>
      <c r="S807" s="13"/>
      <c r="T807" s="17"/>
      <c r="U807" s="13"/>
      <c r="V807" s="16"/>
      <c r="W807" s="13"/>
      <c r="X807" s="13"/>
      <c r="Y807" s="14"/>
      <c r="Z807" s="2"/>
      <c r="AA807" s="13">
        <f>H807*I807/100</f>
      </c>
      <c r="AB807" s="13">
        <f>H807*J807/100</f>
      </c>
      <c r="AC807" s="15">
        <f>H807*K807</f>
      </c>
      <c r="AD807" s="15">
        <f>H807*M807</f>
      </c>
      <c r="AE807" s="13">
        <f>H807*L807/100</f>
      </c>
      <c r="AF807" s="13">
        <f>AA807+AB807+AE807</f>
      </c>
      <c r="AG807" s="13">
        <f>I807+J807+L807</f>
      </c>
      <c r="AH807" s="18">
        <f>$H807*I807</f>
      </c>
      <c r="AI807" s="18">
        <f>$H807*J807</f>
      </c>
      <c r="AJ807" s="18">
        <f>$H807*K807</f>
      </c>
      <c r="AK807" s="18">
        <f>$H807*L807</f>
      </c>
      <c r="AL807" s="18">
        <f>$H807*M807</f>
      </c>
      <c r="AM807" s="14"/>
      <c r="AN807" s="14"/>
      <c r="AO807" s="14"/>
    </row>
    <row x14ac:dyDescent="0.25" r="808" customHeight="1" ht="17.25">
      <c r="A808" s="2" t="s">
        <v>1588</v>
      </c>
      <c r="B808" s="2" t="s">
        <v>1589</v>
      </c>
      <c r="C808" s="2" t="s">
        <v>40</v>
      </c>
      <c r="D808" s="2" t="s">
        <v>41</v>
      </c>
      <c r="E808" s="2" t="s">
        <v>52</v>
      </c>
      <c r="F808" s="2" t="s">
        <v>1163</v>
      </c>
      <c r="G808" s="2" t="s">
        <v>108</v>
      </c>
      <c r="H808" s="13">
        <v>1.609</v>
      </c>
      <c r="I808" s="13"/>
      <c r="J808" s="13">
        <v>10.3</v>
      </c>
      <c r="K808" s="14"/>
      <c r="L808" s="13"/>
      <c r="M808" s="13"/>
      <c r="N808" s="15"/>
      <c r="O808" s="16"/>
      <c r="P808" s="13"/>
      <c r="Q808" s="13"/>
      <c r="R808" s="17"/>
      <c r="S808" s="13"/>
      <c r="T808" s="17"/>
      <c r="U808" s="13"/>
      <c r="V808" s="16"/>
      <c r="W808" s="13"/>
      <c r="X808" s="13"/>
      <c r="Y808" s="14"/>
      <c r="Z808" s="2"/>
      <c r="AA808" s="13">
        <f>H808*I808/100</f>
      </c>
      <c r="AB808" s="13">
        <f>H808*J808/100</f>
      </c>
      <c r="AC808" s="15">
        <f>H808*K808</f>
      </c>
      <c r="AD808" s="15">
        <f>H808*M808</f>
      </c>
      <c r="AE808" s="13">
        <f>H808*L808/100</f>
      </c>
      <c r="AF808" s="13">
        <f>AA808+AB808+AE808</f>
      </c>
      <c r="AG808" s="13">
        <f>I808+J808+L808</f>
      </c>
      <c r="AH808" s="18">
        <f>$H808*I808</f>
      </c>
      <c r="AI808" s="18">
        <f>$H808*J808</f>
      </c>
      <c r="AJ808" s="18">
        <f>$H808*K808</f>
      </c>
      <c r="AK808" s="18">
        <f>$H808*L808</f>
      </c>
      <c r="AL808" s="18">
        <f>$H808*M808</f>
      </c>
      <c r="AM808" s="14"/>
      <c r="AN808" s="14"/>
      <c r="AO808" s="14"/>
    </row>
    <row x14ac:dyDescent="0.25" r="809" customHeight="1" ht="17.25">
      <c r="A809" s="2" t="s">
        <v>1590</v>
      </c>
      <c r="B809" s="2" t="s">
        <v>1591</v>
      </c>
      <c r="C809" s="2" t="s">
        <v>40</v>
      </c>
      <c r="D809" s="2" t="s">
        <v>41</v>
      </c>
      <c r="E809" s="2" t="s">
        <v>52</v>
      </c>
      <c r="F809" s="2" t="s">
        <v>1592</v>
      </c>
      <c r="G809" s="2" t="s">
        <v>1593</v>
      </c>
      <c r="H809" s="13">
        <v>8.836</v>
      </c>
      <c r="I809" s="13">
        <v>0.99</v>
      </c>
      <c r="J809" s="13">
        <v>2.17</v>
      </c>
      <c r="K809" s="13">
        <v>7.3</v>
      </c>
      <c r="L809" s="13"/>
      <c r="M809" s="13"/>
      <c r="N809" s="13">
        <f>21.66*(137.327/(137.327+96.06))</f>
      </c>
      <c r="O809" s="16"/>
      <c r="P809" s="13"/>
      <c r="Q809" s="13"/>
      <c r="R809" s="17"/>
      <c r="S809" s="13"/>
      <c r="T809" s="17"/>
      <c r="U809" s="13"/>
      <c r="V809" s="16"/>
      <c r="W809" s="13"/>
      <c r="X809" s="13"/>
      <c r="Y809" s="13">
        <v>5.06</v>
      </c>
      <c r="Z809" s="2" t="s">
        <v>1594</v>
      </c>
      <c r="AA809" s="13">
        <f>H809*I809/100</f>
      </c>
      <c r="AB809" s="13">
        <f>H809*J809/100</f>
      </c>
      <c r="AC809" s="15">
        <f>H809*K809</f>
      </c>
      <c r="AD809" s="15">
        <f>H809*M809</f>
      </c>
      <c r="AE809" s="13">
        <f>H809*L809/100</f>
      </c>
      <c r="AF809" s="13">
        <f>AA809+AB809+AE809</f>
      </c>
      <c r="AG809" s="13">
        <f>I809+J809+L809</f>
      </c>
      <c r="AH809" s="18">
        <f>$H809*I809</f>
      </c>
      <c r="AI809" s="18">
        <f>$H809*J809</f>
      </c>
      <c r="AJ809" s="18">
        <f>$H809*K809</f>
      </c>
      <c r="AK809" s="18">
        <f>$H809*L809</f>
      </c>
      <c r="AL809" s="18">
        <f>$H809*M809</f>
      </c>
      <c r="AM809" s="14"/>
      <c r="AN809" s="14"/>
      <c r="AO809" s="14"/>
    </row>
    <row x14ac:dyDescent="0.25" r="810" customHeight="1" ht="17.25">
      <c r="A810" s="2" t="s">
        <v>1595</v>
      </c>
      <c r="B810" s="2" t="s">
        <v>1591</v>
      </c>
      <c r="C810" s="2" t="s">
        <v>40</v>
      </c>
      <c r="D810" s="2" t="s">
        <v>41</v>
      </c>
      <c r="E810" s="12" t="s">
        <v>42</v>
      </c>
      <c r="F810" s="2" t="s">
        <v>1592</v>
      </c>
      <c r="G810" s="2" t="s">
        <v>1596</v>
      </c>
      <c r="H810" s="13">
        <v>2.7</v>
      </c>
      <c r="I810" s="13">
        <v>3.34</v>
      </c>
      <c r="J810" s="13">
        <v>6.14</v>
      </c>
      <c r="K810" s="14"/>
      <c r="L810" s="13"/>
      <c r="M810" s="13"/>
      <c r="N810" s="15"/>
      <c r="O810" s="16"/>
      <c r="P810" s="13"/>
      <c r="Q810" s="13"/>
      <c r="R810" s="17"/>
      <c r="S810" s="13"/>
      <c r="T810" s="17"/>
      <c r="U810" s="13"/>
      <c r="V810" s="16"/>
      <c r="W810" s="13"/>
      <c r="X810" s="13"/>
      <c r="Y810" s="14"/>
      <c r="Z810" s="2"/>
      <c r="AA810" s="13">
        <f>H810*I810/100</f>
      </c>
      <c r="AB810" s="13">
        <f>H810*J810/100</f>
      </c>
      <c r="AC810" s="15">
        <f>H810*K810</f>
      </c>
      <c r="AD810" s="15">
        <f>H810*M810</f>
      </c>
      <c r="AE810" s="13">
        <f>H810*L810/100</f>
      </c>
      <c r="AF810" s="13">
        <f>AA810+AB810+AE810</f>
      </c>
      <c r="AG810" s="13">
        <f>I810+J810+L810</f>
      </c>
      <c r="AH810" s="18">
        <f>$H810*I810</f>
      </c>
      <c r="AI810" s="18">
        <f>$H810*J810</f>
      </c>
      <c r="AJ810" s="18">
        <f>$H810*K810</f>
      </c>
      <c r="AK810" s="18">
        <f>$H810*L810</f>
      </c>
      <c r="AL810" s="18">
        <f>$H810*M810</f>
      </c>
      <c r="AM810" s="14"/>
      <c r="AN810" s="14"/>
      <c r="AO810" s="14"/>
    </row>
    <row x14ac:dyDescent="0.25" r="811" customHeight="1" ht="17.25">
      <c r="A811" s="2" t="s">
        <v>1597</v>
      </c>
      <c r="B811" s="2" t="s">
        <v>1591</v>
      </c>
      <c r="C811" s="2" t="s">
        <v>40</v>
      </c>
      <c r="D811" s="2" t="s">
        <v>41</v>
      </c>
      <c r="E811" s="2" t="s">
        <v>52</v>
      </c>
      <c r="F811" s="2" t="s">
        <v>1592</v>
      </c>
      <c r="G811" s="2" t="s">
        <v>1598</v>
      </c>
      <c r="H811" s="13">
        <v>1.2</v>
      </c>
      <c r="I811" s="13">
        <v>5.6</v>
      </c>
      <c r="J811" s="15">
        <v>6</v>
      </c>
      <c r="K811" s="14"/>
      <c r="L811" s="13"/>
      <c r="M811" s="13"/>
      <c r="N811" s="15"/>
      <c r="O811" s="16"/>
      <c r="P811" s="13"/>
      <c r="Q811" s="13"/>
      <c r="R811" s="17"/>
      <c r="S811" s="13"/>
      <c r="T811" s="17"/>
      <c r="U811" s="13"/>
      <c r="V811" s="16"/>
      <c r="W811" s="13"/>
      <c r="X811" s="13"/>
      <c r="Y811" s="14"/>
      <c r="Z811" s="2"/>
      <c r="AA811" s="13">
        <f>H811*I811/100</f>
      </c>
      <c r="AB811" s="13">
        <f>H811*J811/100</f>
      </c>
      <c r="AC811" s="15">
        <f>H811*K811</f>
      </c>
      <c r="AD811" s="15">
        <f>H811*M811</f>
      </c>
      <c r="AE811" s="13">
        <f>H811*L811/100</f>
      </c>
      <c r="AF811" s="13">
        <f>AA811+AB811+AE811</f>
      </c>
      <c r="AG811" s="13">
        <f>I811+J811+L811</f>
      </c>
      <c r="AH811" s="18">
        <f>$H811*I811</f>
      </c>
      <c r="AI811" s="18">
        <f>$H811*J811</f>
      </c>
      <c r="AJ811" s="18">
        <f>$H811*K811</f>
      </c>
      <c r="AK811" s="18">
        <f>$H811*L811</f>
      </c>
      <c r="AL811" s="18">
        <f>$H811*M811</f>
      </c>
      <c r="AM811" s="14"/>
      <c r="AN811" s="14"/>
      <c r="AO811" s="14"/>
    </row>
    <row x14ac:dyDescent="0.25" r="812" customHeight="1" ht="17.25">
      <c r="A812" s="2" t="s">
        <v>1599</v>
      </c>
      <c r="B812" s="2" t="s">
        <v>1591</v>
      </c>
      <c r="C812" s="2" t="s">
        <v>40</v>
      </c>
      <c r="D812" s="2" t="s">
        <v>41</v>
      </c>
      <c r="E812" s="12" t="s">
        <v>42</v>
      </c>
      <c r="F812" s="2" t="s">
        <v>1592</v>
      </c>
      <c r="G812" s="2" t="s">
        <v>1600</v>
      </c>
      <c r="H812" s="13">
        <v>0.4</v>
      </c>
      <c r="I812" s="13">
        <v>1.75</v>
      </c>
      <c r="J812" s="13">
        <v>1.75</v>
      </c>
      <c r="K812" s="14"/>
      <c r="L812" s="13"/>
      <c r="M812" s="13"/>
      <c r="N812" s="15"/>
      <c r="O812" s="16"/>
      <c r="P812" s="13"/>
      <c r="Q812" s="13"/>
      <c r="R812" s="17"/>
      <c r="S812" s="13"/>
      <c r="T812" s="17"/>
      <c r="U812" s="13"/>
      <c r="V812" s="16"/>
      <c r="W812" s="13"/>
      <c r="X812" s="13"/>
      <c r="Y812" s="14">
        <v>35</v>
      </c>
      <c r="Z812" s="2" t="s">
        <v>1594</v>
      </c>
      <c r="AA812" s="13">
        <f>H812*I812/100</f>
      </c>
      <c r="AB812" s="13">
        <f>H812*J812/100</f>
      </c>
      <c r="AC812" s="15">
        <f>H812*K812</f>
      </c>
      <c r="AD812" s="15">
        <f>H812*M812</f>
      </c>
      <c r="AE812" s="13">
        <f>H812*L812/100</f>
      </c>
      <c r="AF812" s="13">
        <f>AA812+AB812+AE812</f>
      </c>
      <c r="AG812" s="13">
        <f>I812+J812+L812</f>
      </c>
      <c r="AH812" s="18">
        <f>$H812*I812</f>
      </c>
      <c r="AI812" s="18">
        <f>$H812*J812</f>
      </c>
      <c r="AJ812" s="18">
        <f>$H812*K812</f>
      </c>
      <c r="AK812" s="18">
        <f>$H812*L812</f>
      </c>
      <c r="AL812" s="18">
        <f>$H812*M812</f>
      </c>
      <c r="AM812" s="14"/>
      <c r="AN812" s="14"/>
      <c r="AO812" s="14"/>
    </row>
    <row x14ac:dyDescent="0.25" r="813" customHeight="1" ht="17.25">
      <c r="A813" s="2" t="s">
        <v>1601</v>
      </c>
      <c r="B813" s="2" t="s">
        <v>1591</v>
      </c>
      <c r="C813" s="2" t="s">
        <v>40</v>
      </c>
      <c r="D813" s="2" t="s">
        <v>41</v>
      </c>
      <c r="E813" s="12" t="s">
        <v>42</v>
      </c>
      <c r="F813" s="2" t="s">
        <v>1592</v>
      </c>
      <c r="G813" s="2" t="s">
        <v>1600</v>
      </c>
      <c r="H813" s="13">
        <v>0.025</v>
      </c>
      <c r="I813" s="13">
        <v>1.75</v>
      </c>
      <c r="J813" s="13">
        <v>1.75</v>
      </c>
      <c r="K813" s="14"/>
      <c r="L813" s="13"/>
      <c r="M813" s="13"/>
      <c r="N813" s="15">
        <f>10*(137.327/(137.327+96.06))</f>
      </c>
      <c r="O813" s="16"/>
      <c r="P813" s="13"/>
      <c r="Q813" s="13"/>
      <c r="R813" s="17"/>
      <c r="S813" s="13"/>
      <c r="T813" s="17"/>
      <c r="U813" s="13"/>
      <c r="V813" s="16"/>
      <c r="W813" s="13"/>
      <c r="X813" s="13"/>
      <c r="Y813" s="14">
        <v>15</v>
      </c>
      <c r="Z813" s="2" t="s">
        <v>1594</v>
      </c>
      <c r="AA813" s="13">
        <f>H813*I813/100</f>
      </c>
      <c r="AB813" s="13">
        <f>H813*J813/100</f>
      </c>
      <c r="AC813" s="15">
        <f>H813*K813</f>
      </c>
      <c r="AD813" s="15">
        <f>H813*M813</f>
      </c>
      <c r="AE813" s="13">
        <f>H813*L813/100</f>
      </c>
      <c r="AF813" s="13">
        <f>AA813+AB813+AE813</f>
      </c>
      <c r="AG813" s="13">
        <f>I813+J813+L813</f>
      </c>
      <c r="AH813" s="18">
        <f>$H813*I813</f>
      </c>
      <c r="AI813" s="18">
        <f>$H813*J813</f>
      </c>
      <c r="AJ813" s="18">
        <f>$H813*K813</f>
      </c>
      <c r="AK813" s="18">
        <f>$H813*L813</f>
      </c>
      <c r="AL813" s="18">
        <f>$H813*M813</f>
      </c>
      <c r="AM813" s="14"/>
      <c r="AN813" s="14"/>
      <c r="AO813" s="14"/>
    </row>
    <row x14ac:dyDescent="0.25" r="814" customHeight="1" ht="17.25">
      <c r="A814" s="2" t="s">
        <v>1602</v>
      </c>
      <c r="B814" s="2" t="s">
        <v>1591</v>
      </c>
      <c r="C814" s="2" t="s">
        <v>40</v>
      </c>
      <c r="D814" s="2" t="s">
        <v>41</v>
      </c>
      <c r="E814" s="12" t="s">
        <v>42</v>
      </c>
      <c r="F814" s="2" t="s">
        <v>1592</v>
      </c>
      <c r="G814" s="2" t="s">
        <v>1600</v>
      </c>
      <c r="H814" s="14">
        <v>4</v>
      </c>
      <c r="I814" s="14">
        <v>1</v>
      </c>
      <c r="J814" s="14">
        <v>1</v>
      </c>
      <c r="K814" s="14"/>
      <c r="L814" s="13"/>
      <c r="M814" s="13"/>
      <c r="N814" s="15"/>
      <c r="O814" s="16"/>
      <c r="P814" s="13"/>
      <c r="Q814" s="13"/>
      <c r="R814" s="17"/>
      <c r="S814" s="13"/>
      <c r="T814" s="17"/>
      <c r="U814" s="13"/>
      <c r="V814" s="16"/>
      <c r="W814" s="13"/>
      <c r="X814" s="13"/>
      <c r="Y814" s="14">
        <v>25</v>
      </c>
      <c r="Z814" s="2" t="s">
        <v>1594</v>
      </c>
      <c r="AA814" s="13">
        <f>H814*I814/100</f>
      </c>
      <c r="AB814" s="13">
        <f>H814*J814/100</f>
      </c>
      <c r="AC814" s="15">
        <f>H814*K814</f>
      </c>
      <c r="AD814" s="15">
        <f>H814*M814</f>
      </c>
      <c r="AE814" s="13">
        <f>H814*L814/100</f>
      </c>
      <c r="AF814" s="13">
        <f>AA814+AB814+AE814</f>
      </c>
      <c r="AG814" s="13">
        <f>I814+J814+L814</f>
      </c>
      <c r="AH814" s="18">
        <f>$H814*I814</f>
      </c>
      <c r="AI814" s="18">
        <f>$H814*J814</f>
      </c>
      <c r="AJ814" s="18">
        <f>$H814*K814</f>
      </c>
      <c r="AK814" s="18">
        <f>$H814*L814</f>
      </c>
      <c r="AL814" s="18">
        <f>$H814*M814</f>
      </c>
      <c r="AM814" s="14"/>
      <c r="AN814" s="14"/>
      <c r="AO814" s="14"/>
    </row>
    <row x14ac:dyDescent="0.25" r="815" customHeight="1" ht="17.25">
      <c r="A815" s="2" t="s">
        <v>1603</v>
      </c>
      <c r="B815" s="2" t="s">
        <v>1604</v>
      </c>
      <c r="C815" s="2" t="s">
        <v>40</v>
      </c>
      <c r="D815" s="2" t="s">
        <v>64</v>
      </c>
      <c r="E815" s="12" t="s">
        <v>42</v>
      </c>
      <c r="F815" s="2" t="s">
        <v>43</v>
      </c>
      <c r="G815" s="2" t="s">
        <v>46</v>
      </c>
      <c r="H815" s="13">
        <v>0.9</v>
      </c>
      <c r="I815" s="13">
        <v>1.5</v>
      </c>
      <c r="J815" s="13">
        <v>7.5</v>
      </c>
      <c r="K815" s="14"/>
      <c r="L815" s="13"/>
      <c r="M815" s="13"/>
      <c r="N815" s="15"/>
      <c r="O815" s="16"/>
      <c r="P815" s="13"/>
      <c r="Q815" s="13"/>
      <c r="R815" s="17"/>
      <c r="S815" s="13"/>
      <c r="T815" s="17"/>
      <c r="U815" s="13"/>
      <c r="V815" s="16"/>
      <c r="W815" s="13"/>
      <c r="X815" s="13"/>
      <c r="Y815" s="14"/>
      <c r="Z815" s="2"/>
      <c r="AA815" s="13">
        <f>H815*I815/100</f>
      </c>
      <c r="AB815" s="13">
        <f>H815*J815/100</f>
      </c>
      <c r="AC815" s="15">
        <f>H815*K815</f>
      </c>
      <c r="AD815" s="15">
        <f>H815*M815</f>
      </c>
      <c r="AE815" s="13">
        <f>H815*L815/100</f>
      </c>
      <c r="AF815" s="13">
        <f>AA815+AB815+AE815</f>
      </c>
      <c r="AG815" s="13">
        <f>I815+J815+L815</f>
      </c>
      <c r="AH815" s="18">
        <f>$H815*I815</f>
      </c>
      <c r="AI815" s="18">
        <f>$H815*J815</f>
      </c>
      <c r="AJ815" s="18">
        <f>$H815*K815</f>
      </c>
      <c r="AK815" s="18">
        <f>$H815*L815</f>
      </c>
      <c r="AL815" s="18">
        <f>$H815*M815</f>
      </c>
      <c r="AM815" s="14"/>
      <c r="AN815" s="14"/>
      <c r="AO815" s="14"/>
    </row>
    <row x14ac:dyDescent="0.25" r="816" customHeight="1" ht="17.25">
      <c r="A816" s="2" t="s">
        <v>1605</v>
      </c>
      <c r="B816" s="2" t="s">
        <v>1604</v>
      </c>
      <c r="C816" s="2" t="s">
        <v>50</v>
      </c>
      <c r="D816" s="2"/>
      <c r="E816" s="2" t="s">
        <v>52</v>
      </c>
      <c r="F816" s="2" t="s">
        <v>965</v>
      </c>
      <c r="G816" s="2" t="s">
        <v>73</v>
      </c>
      <c r="H816" s="13">
        <f>5.092+0.98+7.374</f>
      </c>
      <c r="I816" s="13"/>
      <c r="J816" s="13">
        <f>(2.5*5.092+5.65*0.98+2.49*7.374)/$H816</f>
      </c>
      <c r="K816" s="15">
        <f>(20*5.092+0*0.98+21*7.374)/$H816</f>
      </c>
      <c r="L816" s="13">
        <f>(2.94*5.092+2.64*0.98+2.72*7.374)/$H816</f>
      </c>
      <c r="M816" s="13">
        <f>(0.57*5.092+0*0.98+0.33*7.374)/$H816</f>
      </c>
      <c r="N816" s="15"/>
      <c r="O816" s="16"/>
      <c r="P816" s="13"/>
      <c r="Q816" s="13"/>
      <c r="R816" s="17"/>
      <c r="S816" s="13"/>
      <c r="T816" s="17"/>
      <c r="U816" s="13"/>
      <c r="V816" s="16"/>
      <c r="W816" s="13"/>
      <c r="X816" s="13"/>
      <c r="Y816" s="14"/>
      <c r="Z816" s="2"/>
      <c r="AA816" s="13">
        <f>H816*I816/100</f>
      </c>
      <c r="AB816" s="13">
        <f>H816*J816/100</f>
      </c>
      <c r="AC816" s="15">
        <f>H816*K816</f>
      </c>
      <c r="AD816" s="15">
        <f>H816*M816</f>
      </c>
      <c r="AE816" s="13">
        <f>H816*L816/100</f>
      </c>
      <c r="AF816" s="13">
        <f>AA816+AB816+AE816</f>
      </c>
      <c r="AG816" s="13">
        <f>I816+J816+L816</f>
      </c>
      <c r="AH816" s="18">
        <f>$H816*I816</f>
      </c>
      <c r="AI816" s="18">
        <f>$H816*J816</f>
      </c>
      <c r="AJ816" s="18">
        <f>$H816*K816</f>
      </c>
      <c r="AK816" s="18">
        <f>$H816*L816</f>
      </c>
      <c r="AL816" s="18">
        <f>$H816*M816</f>
      </c>
      <c r="AM816" s="14"/>
      <c r="AN816" s="14"/>
      <c r="AO816" s="14"/>
    </row>
    <row x14ac:dyDescent="0.25" r="817" customHeight="1" ht="17.25">
      <c r="A817" s="2" t="s">
        <v>1606</v>
      </c>
      <c r="B817" s="2" t="s">
        <v>1604</v>
      </c>
      <c r="C817" s="2" t="s">
        <v>56</v>
      </c>
      <c r="D817" s="2" t="s">
        <v>291</v>
      </c>
      <c r="E817" s="2" t="s">
        <v>52</v>
      </c>
      <c r="F817" s="2" t="s">
        <v>1607</v>
      </c>
      <c r="G817" s="2" t="s">
        <v>574</v>
      </c>
      <c r="H817" s="13">
        <f>4.6+0.2</f>
      </c>
      <c r="I817" s="13">
        <f>(0.38*4.6+0.4*0.2)/$H817</f>
      </c>
      <c r="J817" s="13">
        <f>(0.96*4.6+1.45*0.2)/$H817</f>
      </c>
      <c r="K817" s="13">
        <f>(2.28*4.6+3.2*0.2)/$H817</f>
      </c>
      <c r="L817" s="13"/>
      <c r="M817" s="13">
        <f>(1.82*4.6+1.07*0.2)/$H817</f>
      </c>
      <c r="N817" s="15"/>
      <c r="O817" s="16"/>
      <c r="P817" s="13"/>
      <c r="Q817" s="13"/>
      <c r="R817" s="17"/>
      <c r="S817" s="13"/>
      <c r="T817" s="17"/>
      <c r="U817" s="13"/>
      <c r="V817" s="16"/>
      <c r="W817" s="13"/>
      <c r="X817" s="13"/>
      <c r="Y817" s="14"/>
      <c r="Z817" s="2"/>
      <c r="AA817" s="13">
        <f>H817*I817/100</f>
      </c>
      <c r="AB817" s="13">
        <f>H817*J817/100</f>
      </c>
      <c r="AC817" s="15">
        <f>H817*K817</f>
      </c>
      <c r="AD817" s="15">
        <f>H817*M817</f>
      </c>
      <c r="AE817" s="13">
        <f>H817*L817/100</f>
      </c>
      <c r="AF817" s="13">
        <f>AA817+AB817+AE817</f>
      </c>
      <c r="AG817" s="13">
        <f>I817+J817+L817</f>
      </c>
      <c r="AH817" s="18">
        <f>$H817*I817</f>
      </c>
      <c r="AI817" s="18">
        <f>$H817*J817</f>
      </c>
      <c r="AJ817" s="18">
        <f>$H817*K817</f>
      </c>
      <c r="AK817" s="18">
        <f>$H817*L817</f>
      </c>
      <c r="AL817" s="18">
        <f>$H817*M817</f>
      </c>
      <c r="AM817" s="14"/>
      <c r="AN817" s="14"/>
      <c r="AO817" s="14"/>
    </row>
    <row x14ac:dyDescent="0.25" r="818" customHeight="1" ht="17.25">
      <c r="A818" s="2" t="s">
        <v>1608</v>
      </c>
      <c r="B818" s="2" t="s">
        <v>1604</v>
      </c>
      <c r="C818" s="2" t="s">
        <v>40</v>
      </c>
      <c r="D818" s="2" t="s">
        <v>41</v>
      </c>
      <c r="E818" s="2" t="s">
        <v>52</v>
      </c>
      <c r="F818" s="2" t="s">
        <v>1609</v>
      </c>
      <c r="G818" s="2" t="s">
        <v>574</v>
      </c>
      <c r="H818" s="13">
        <v>6.25</v>
      </c>
      <c r="I818" s="13">
        <v>0.005</v>
      </c>
      <c r="J818" s="13">
        <v>1.68</v>
      </c>
      <c r="K818" s="13">
        <v>1.53</v>
      </c>
      <c r="L818" s="13"/>
      <c r="M818" s="13"/>
      <c r="N818" s="15"/>
      <c r="O818" s="16"/>
      <c r="P818" s="13"/>
      <c r="Q818" s="13"/>
      <c r="R818" s="17"/>
      <c r="S818" s="13"/>
      <c r="T818" s="17"/>
      <c r="U818" s="13"/>
      <c r="V818" s="16"/>
      <c r="W818" s="13"/>
      <c r="X818" s="13"/>
      <c r="Y818" s="14"/>
      <c r="Z818" s="2"/>
      <c r="AA818" s="13">
        <f>H818*I818/100</f>
      </c>
      <c r="AB818" s="13">
        <f>H818*J818/100</f>
      </c>
      <c r="AC818" s="15">
        <f>H818*K818</f>
      </c>
      <c r="AD818" s="15">
        <f>H818*M818</f>
      </c>
      <c r="AE818" s="13">
        <f>H818*L818/100</f>
      </c>
      <c r="AF818" s="13">
        <f>AA818+AB818+AE818</f>
      </c>
      <c r="AG818" s="13">
        <f>I818+J818+L818</f>
      </c>
      <c r="AH818" s="18">
        <f>$H818*I818</f>
      </c>
      <c r="AI818" s="18">
        <f>$H818*J818</f>
      </c>
      <c r="AJ818" s="18">
        <f>$H818*K818</f>
      </c>
      <c r="AK818" s="18">
        <f>$H818*L818</f>
      </c>
      <c r="AL818" s="18">
        <f>$H818*M818</f>
      </c>
      <c r="AM818" s="14"/>
      <c r="AN818" s="14"/>
      <c r="AO818" s="14"/>
    </row>
    <row x14ac:dyDescent="0.25" r="819" customHeight="1" ht="17.25">
      <c r="A819" s="2" t="s">
        <v>1610</v>
      </c>
      <c r="B819" s="2" t="s">
        <v>1604</v>
      </c>
      <c r="C819" s="2" t="s">
        <v>159</v>
      </c>
      <c r="D819" s="2"/>
      <c r="E819" s="2" t="s">
        <v>52</v>
      </c>
      <c r="F819" s="2" t="s">
        <v>1611</v>
      </c>
      <c r="G819" s="2" t="s">
        <v>1612</v>
      </c>
      <c r="H819" s="16">
        <v>0.923475</v>
      </c>
      <c r="I819" s="13">
        <v>7.38</v>
      </c>
      <c r="J819" s="13">
        <v>2.85</v>
      </c>
      <c r="K819" s="14"/>
      <c r="L819" s="13">
        <v>1.36</v>
      </c>
      <c r="M819" s="13"/>
      <c r="N819" s="15"/>
      <c r="O819" s="16"/>
      <c r="P819" s="13"/>
      <c r="Q819" s="13"/>
      <c r="R819" s="17"/>
      <c r="S819" s="13"/>
      <c r="T819" s="17"/>
      <c r="U819" s="13"/>
      <c r="V819" s="16"/>
      <c r="W819" s="13"/>
      <c r="X819" s="13"/>
      <c r="Y819" s="14"/>
      <c r="Z819" s="2"/>
      <c r="AA819" s="13">
        <f>H819*I819/100</f>
      </c>
      <c r="AB819" s="13">
        <f>H819*J819/100</f>
      </c>
      <c r="AC819" s="15">
        <f>H819*K819</f>
      </c>
      <c r="AD819" s="15">
        <f>H819*M819</f>
      </c>
      <c r="AE819" s="13">
        <f>H819*L819/100</f>
      </c>
      <c r="AF819" s="13">
        <f>AA819+AB819+AE819</f>
      </c>
      <c r="AG819" s="13">
        <f>I819+J819+L819</f>
      </c>
      <c r="AH819" s="18">
        <f>$H819*I819</f>
      </c>
      <c r="AI819" s="18">
        <f>$H819*J819</f>
      </c>
      <c r="AJ819" s="18">
        <f>$H819*K819</f>
      </c>
      <c r="AK819" s="18">
        <f>$H819*L819</f>
      </c>
      <c r="AL819" s="18">
        <f>$H819*M819</f>
      </c>
      <c r="AM819" s="14"/>
      <c r="AN819" s="14"/>
      <c r="AO819" s="14"/>
    </row>
    <row x14ac:dyDescent="0.25" r="820" customHeight="1" ht="17.25">
      <c r="A820" s="2" t="s">
        <v>1613</v>
      </c>
      <c r="B820" s="2" t="s">
        <v>1604</v>
      </c>
      <c r="C820" s="2" t="s">
        <v>50</v>
      </c>
      <c r="D820" s="2"/>
      <c r="E820" s="2" t="s">
        <v>52</v>
      </c>
      <c r="F820" s="2" t="s">
        <v>1614</v>
      </c>
      <c r="G820" s="2" t="s">
        <v>628</v>
      </c>
      <c r="H820" s="13">
        <f>29.669+0.369</f>
      </c>
      <c r="I820" s="13">
        <f>(1.01*29.669+0.94*0.369)/$H820</f>
      </c>
      <c r="J820" s="13">
        <f>(1.47*29.669+1.89*0.369)/$H820</f>
      </c>
      <c r="K820" s="15">
        <f>(31.3*29.669+25.5*0.369)/$H820</f>
      </c>
      <c r="L820" s="13">
        <f>(0.31*29.669+0.18*0.369)/$H820</f>
      </c>
      <c r="M820" s="13">
        <f>(0.95*29.669+0.47*0.369)/$H820</f>
      </c>
      <c r="N820" s="15"/>
      <c r="O820" s="16"/>
      <c r="P820" s="13"/>
      <c r="Q820" s="13"/>
      <c r="R820" s="17"/>
      <c r="S820" s="13"/>
      <c r="T820" s="17"/>
      <c r="U820" s="13"/>
      <c r="V820" s="16"/>
      <c r="W820" s="13"/>
      <c r="X820" s="13"/>
      <c r="Y820" s="14"/>
      <c r="Z820" s="2"/>
      <c r="AA820" s="13">
        <f>H820*I820/100</f>
      </c>
      <c r="AB820" s="13">
        <f>H820*J820/100</f>
      </c>
      <c r="AC820" s="15">
        <f>H820*K820</f>
      </c>
      <c r="AD820" s="15">
        <f>H820*M820</f>
      </c>
      <c r="AE820" s="13">
        <f>H820*L820/100</f>
      </c>
      <c r="AF820" s="13">
        <f>AA820+AB820+AE820</f>
      </c>
      <c r="AG820" s="13">
        <f>I820+J820+L820</f>
      </c>
      <c r="AH820" s="18">
        <f>$H820*I820</f>
      </c>
      <c r="AI820" s="18">
        <f>$H820*J820</f>
      </c>
      <c r="AJ820" s="18">
        <f>$H820*K820</f>
      </c>
      <c r="AK820" s="18">
        <f>$H820*L820</f>
      </c>
      <c r="AL820" s="18">
        <f>$H820*M820</f>
      </c>
      <c r="AM820" s="14"/>
      <c r="AN820" s="14"/>
      <c r="AO820" s="14"/>
    </row>
    <row x14ac:dyDescent="0.25" r="821" customHeight="1" ht="17.25">
      <c r="A821" s="2" t="s">
        <v>1615</v>
      </c>
      <c r="B821" s="2" t="s">
        <v>1616</v>
      </c>
      <c r="C821" s="2" t="s">
        <v>1617</v>
      </c>
      <c r="D821" s="2" t="s">
        <v>1618</v>
      </c>
      <c r="E821" s="2" t="s">
        <v>52</v>
      </c>
      <c r="F821" s="2" t="s">
        <v>1619</v>
      </c>
      <c r="G821" s="2" t="s">
        <v>1620</v>
      </c>
      <c r="H821" s="13">
        <v>3.499</v>
      </c>
      <c r="I821" s="13"/>
      <c r="J821" s="13">
        <v>0.29</v>
      </c>
      <c r="K821" s="15"/>
      <c r="L821" s="13">
        <v>0.45</v>
      </c>
      <c r="M821" s="13"/>
      <c r="N821" s="15"/>
      <c r="O821" s="16"/>
      <c r="P821" s="13"/>
      <c r="Q821" s="13">
        <v>0.33</v>
      </c>
      <c r="R821" s="17"/>
      <c r="S821" s="13"/>
      <c r="T821" s="17"/>
      <c r="U821" s="13"/>
      <c r="V821" s="16"/>
      <c r="W821" s="13"/>
      <c r="X821" s="13"/>
      <c r="Y821" s="14"/>
      <c r="Z821" s="2"/>
      <c r="AA821" s="13">
        <f>H821*I821/100</f>
      </c>
      <c r="AB821" s="13">
        <f>H821*J821/100</f>
      </c>
      <c r="AC821" s="15">
        <f>H821*K821</f>
      </c>
      <c r="AD821" s="15">
        <f>H821*M821</f>
      </c>
      <c r="AE821" s="13">
        <f>H821*L821/100</f>
      </c>
      <c r="AF821" s="13">
        <f>AA821+AB821+AE821</f>
      </c>
      <c r="AG821" s="13">
        <f>I821+J821+L821</f>
      </c>
      <c r="AH821" s="18">
        <f>$H821*I821</f>
      </c>
      <c r="AI821" s="18">
        <f>$H821*J821</f>
      </c>
      <c r="AJ821" s="18">
        <f>$H821*K821</f>
      </c>
      <c r="AK821" s="18">
        <f>$H821*L821</f>
      </c>
      <c r="AL821" s="18">
        <f>$H821*M821</f>
      </c>
      <c r="AM821" s="14"/>
      <c r="AN821" s="14"/>
      <c r="AO821" s="14"/>
    </row>
    <row x14ac:dyDescent="0.25" r="822" customHeight="1" ht="17.25">
      <c r="A822" s="2" t="s">
        <v>1621</v>
      </c>
      <c r="B822" s="2" t="s">
        <v>1622</v>
      </c>
      <c r="C822" s="2" t="s">
        <v>50</v>
      </c>
      <c r="D822" s="2"/>
      <c r="E822" s="2" t="s">
        <v>52</v>
      </c>
      <c r="F822" s="2" t="s">
        <v>1623</v>
      </c>
      <c r="G822" s="2" t="s">
        <v>908</v>
      </c>
      <c r="H822" s="16">
        <f>6.702803+8.431244+2.336734</f>
      </c>
      <c r="I822" s="13">
        <f>(0.18*6.702803+0.257*8.431244+0.334*2.336734)/$H822</f>
      </c>
      <c r="J822" s="13">
        <f>(3.947*6.702803+2.358*8.431244+2.2*2.336734)/$H822</f>
      </c>
      <c r="K822" s="15">
        <f>(27.297*6.702803+22.242*8.431244+26.525*2.336734)/$H822</f>
      </c>
      <c r="L822" s="13">
        <f>(0.473*6.702803+0.218*8.431244+0.362*2.336734)/$H822</f>
      </c>
      <c r="M822" s="13">
        <f>(2.16*6.702803+1.925*8.431244+2.075*2.336734)/$H822</f>
      </c>
      <c r="N822" s="15"/>
      <c r="O822" s="16"/>
      <c r="P822" s="13"/>
      <c r="Q822" s="13"/>
      <c r="R822" s="17"/>
      <c r="S822" s="13"/>
      <c r="T822" s="17"/>
      <c r="U822" s="13"/>
      <c r="V822" s="16"/>
      <c r="W822" s="13"/>
      <c r="X822" s="13"/>
      <c r="Y822" s="14"/>
      <c r="Z822" s="2"/>
      <c r="AA822" s="13">
        <f>H822*I822/100</f>
      </c>
      <c r="AB822" s="13">
        <f>H822*J822/100</f>
      </c>
      <c r="AC822" s="15">
        <f>H822*K822</f>
      </c>
      <c r="AD822" s="15">
        <f>H822*M822</f>
      </c>
      <c r="AE822" s="13">
        <f>H822*L822/100</f>
      </c>
      <c r="AF822" s="13">
        <f>AA822+AB822+AE822</f>
      </c>
      <c r="AG822" s="13">
        <f>I822+J822+L822</f>
      </c>
      <c r="AH822" s="18">
        <f>$H822*I822</f>
      </c>
      <c r="AI822" s="18">
        <f>$H822*J822</f>
      </c>
      <c r="AJ822" s="18">
        <f>$H822*K822</f>
      </c>
      <c r="AK822" s="18">
        <f>$H822*L822</f>
      </c>
      <c r="AL822" s="18">
        <f>$H822*M822</f>
      </c>
      <c r="AM822" s="14"/>
      <c r="AN822" s="14"/>
      <c r="AO822" s="14"/>
    </row>
    <row x14ac:dyDescent="0.25" r="823" customHeight="1" ht="17.25">
      <c r="A823" s="2" t="s">
        <v>1624</v>
      </c>
      <c r="B823" s="2" t="s">
        <v>1622</v>
      </c>
      <c r="C823" s="2" t="s">
        <v>50</v>
      </c>
      <c r="D823" s="2"/>
      <c r="E823" s="2" t="s">
        <v>52</v>
      </c>
      <c r="F823" s="2" t="s">
        <v>845</v>
      </c>
      <c r="G823" s="2" t="s">
        <v>737</v>
      </c>
      <c r="H823" s="13">
        <f>(3.02+3.12)*0.9072</f>
      </c>
      <c r="I823" s="13">
        <f>(0.26*3.02+0.39*3.12)/(3.02+3.12)</f>
      </c>
      <c r="J823" s="13">
        <f>(5.63*3.02+5.58*3.12)/(3.02+3.12)</f>
      </c>
      <c r="K823" s="15">
        <f>((1.36*3.02+1.56*3.12)/(3.02+3.12))*31.1/0.9072</f>
      </c>
      <c r="L823" s="13">
        <f>(0.64*3.02+0.39*3.12)/(3.02+3.12)</f>
      </c>
      <c r="M823" s="15">
        <f>((0.04*3.02+0.04*3.12)/(3.02+3.12))*31.1/0.9072</f>
      </c>
      <c r="N823" s="15"/>
      <c r="O823" s="16"/>
      <c r="P823" s="13"/>
      <c r="Q823" s="13"/>
      <c r="R823" s="17"/>
      <c r="S823" s="13"/>
      <c r="T823" s="17"/>
      <c r="U823" s="13"/>
      <c r="V823" s="16"/>
      <c r="W823" s="13"/>
      <c r="X823" s="13"/>
      <c r="Y823" s="14"/>
      <c r="Z823" s="2"/>
      <c r="AA823" s="13">
        <f>H823*I823/100</f>
      </c>
      <c r="AB823" s="13">
        <f>H823*J823/100</f>
      </c>
      <c r="AC823" s="15">
        <f>H823*K823</f>
      </c>
      <c r="AD823" s="15">
        <f>H823*M823</f>
      </c>
      <c r="AE823" s="13">
        <f>H823*L823/100</f>
      </c>
      <c r="AF823" s="13">
        <f>AA823+AB823+AE823</f>
      </c>
      <c r="AG823" s="13">
        <f>I823+J823+L823</f>
      </c>
      <c r="AH823" s="18">
        <f>$H823*I823</f>
      </c>
      <c r="AI823" s="18">
        <f>$H823*J823</f>
      </c>
      <c r="AJ823" s="18">
        <f>$H823*K823</f>
      </c>
      <c r="AK823" s="18">
        <f>$H823*L823</f>
      </c>
      <c r="AL823" s="18">
        <f>$H823*M823</f>
      </c>
      <c r="AM823" s="14"/>
      <c r="AN823" s="14"/>
      <c r="AO823" s="14"/>
    </row>
    <row x14ac:dyDescent="0.25" r="824" customHeight="1" ht="17.25">
      <c r="A824" s="2" t="s">
        <v>1625</v>
      </c>
      <c r="B824" s="2" t="s">
        <v>1622</v>
      </c>
      <c r="C824" s="2" t="s">
        <v>442</v>
      </c>
      <c r="D824" s="2"/>
      <c r="E824" s="12" t="s">
        <v>42</v>
      </c>
      <c r="F824" s="2" t="s">
        <v>1626</v>
      </c>
      <c r="G824" s="2" t="s">
        <v>1627</v>
      </c>
      <c r="H824" s="16">
        <f>0.041605+0.048336+0.1+1.075</f>
      </c>
      <c r="I824" s="13">
        <f>(2.5*0.041605+2.5*0.048336+2.5*0.1+2.5*1.075)/$H824</f>
      </c>
      <c r="J824" s="13">
        <f>(3.5*0.041605+3.5*0.048336+3.5*0.1+3.5*1.075)/$H824</f>
      </c>
      <c r="K824" s="17">
        <f>31.1*(17.35*0.041605+7.56*0.048336+7*0.1+7.5*1.075)/$H824</f>
      </c>
      <c r="L824" s="13"/>
      <c r="M824" s="13">
        <f>31.1*(0.25*0.041605+0.176*0.048336+0.15*0.1+0.17*1.075)/$H824</f>
      </c>
      <c r="N824" s="15"/>
      <c r="O824" s="16"/>
      <c r="P824" s="13"/>
      <c r="Q824" s="13"/>
      <c r="R824" s="17"/>
      <c r="S824" s="13"/>
      <c r="T824" s="17"/>
      <c r="U824" s="13"/>
      <c r="V824" s="16"/>
      <c r="W824" s="13"/>
      <c r="X824" s="13"/>
      <c r="Y824" s="14"/>
      <c r="Z824" s="2"/>
      <c r="AA824" s="13">
        <f>H824*I824/100</f>
      </c>
      <c r="AB824" s="13">
        <f>H824*J824/100</f>
      </c>
      <c r="AC824" s="15">
        <f>H824*K824</f>
      </c>
      <c r="AD824" s="15">
        <f>H824*M824</f>
      </c>
      <c r="AE824" s="13">
        <f>H824*L824/100</f>
      </c>
      <c r="AF824" s="13">
        <f>AA824+AB824+AE824</f>
      </c>
      <c r="AG824" s="13">
        <f>I824+J824+L824</f>
      </c>
      <c r="AH824" s="18">
        <f>$H824*I824</f>
      </c>
      <c r="AI824" s="18">
        <f>$H824*J824</f>
      </c>
      <c r="AJ824" s="18">
        <f>$H824*K824</f>
      </c>
      <c r="AK824" s="18">
        <f>$H824*L824</f>
      </c>
      <c r="AL824" s="18">
        <f>$H824*M824</f>
      </c>
      <c r="AM824" s="14"/>
      <c r="AN824" s="14"/>
      <c r="AO824" s="14"/>
    </row>
    <row x14ac:dyDescent="0.25" r="825" customHeight="1" ht="17.25">
      <c r="A825" s="2" t="s">
        <v>1628</v>
      </c>
      <c r="B825" s="2" t="s">
        <v>1622</v>
      </c>
      <c r="C825" s="2" t="s">
        <v>1629</v>
      </c>
      <c r="D825" s="2"/>
      <c r="E825" s="21" t="s">
        <v>1212</v>
      </c>
      <c r="F825" s="2" t="s">
        <v>1626</v>
      </c>
      <c r="G825" s="2" t="s">
        <v>1627</v>
      </c>
      <c r="H825" s="16">
        <f>0.025+0.021775</f>
      </c>
      <c r="I825" s="13">
        <f>(0.15*0.025+0.38*0.021775)/$H825</f>
      </c>
      <c r="J825" s="13">
        <f>(0.42*0.025+0.91*0.021775)/$H825</f>
      </c>
      <c r="K825" s="15">
        <f>(50.22*0.025+120.22*0.021775)/$H825</f>
      </c>
      <c r="L825" s="13">
        <f>(0.04*0.025+0.1*0.021775)/$H825</f>
      </c>
      <c r="M825" s="13">
        <f>(0.36*0.025+0.79*0.021775)/$H825</f>
      </c>
      <c r="N825" s="15"/>
      <c r="O825" s="16"/>
      <c r="P825" s="13"/>
      <c r="Q825" s="13"/>
      <c r="R825" s="17"/>
      <c r="S825" s="13"/>
      <c r="T825" s="17"/>
      <c r="U825" s="13"/>
      <c r="V825" s="16"/>
      <c r="W825" s="13"/>
      <c r="X825" s="13"/>
      <c r="Y825" s="14"/>
      <c r="Z825" s="2"/>
      <c r="AA825" s="13">
        <f>H825*I825/100</f>
      </c>
      <c r="AB825" s="13">
        <f>H825*J825/100</f>
      </c>
      <c r="AC825" s="15">
        <f>H825*K825</f>
      </c>
      <c r="AD825" s="15">
        <f>H825*M825</f>
      </c>
      <c r="AE825" s="13">
        <f>H825*L825/100</f>
      </c>
      <c r="AF825" s="13">
        <f>AA825+AB825+AE825</f>
      </c>
      <c r="AG825" s="13">
        <f>I825+J825+L825</f>
      </c>
      <c r="AH825" s="18">
        <f>$H825*I825</f>
      </c>
      <c r="AI825" s="18">
        <f>$H825*J825</f>
      </c>
      <c r="AJ825" s="18">
        <f>$H825*K825</f>
      </c>
      <c r="AK825" s="18">
        <f>$H825*L825</f>
      </c>
      <c r="AL825" s="18">
        <f>$H825*M825</f>
      </c>
      <c r="AM825" s="14"/>
      <c r="AN825" s="14"/>
      <c r="AO825" s="14"/>
    </row>
    <row x14ac:dyDescent="0.25" r="826" customHeight="1" ht="17.25">
      <c r="A826" s="2" t="s">
        <v>1630</v>
      </c>
      <c r="B826" s="2" t="s">
        <v>1622</v>
      </c>
      <c r="C826" s="2" t="s">
        <v>442</v>
      </c>
      <c r="D826" s="2" t="s">
        <v>1631</v>
      </c>
      <c r="E826" s="2" t="s">
        <v>52</v>
      </c>
      <c r="F826" s="2" t="s">
        <v>1632</v>
      </c>
      <c r="G826" s="2" t="s">
        <v>635</v>
      </c>
      <c r="H826" s="16">
        <f>(0.7636+0.0297+0.7072+0.88)*0.9072</f>
      </c>
      <c r="I826" s="13">
        <f>(6.6*0.7636+7.71*0.0297+5.13*0.7072+8.09*0.88)/(0.7636+0.0297+0.7072+0.88)</f>
      </c>
      <c r="J826" s="13"/>
      <c r="K826" s="15">
        <f>((6.61*0.7636+11.49*0.0297+5.25*0.7072+6.77*0.88)/(0.7636+0.0297+0.7072+0.88))*31.1/0.9072</f>
      </c>
      <c r="L826" s="13"/>
      <c r="M826" s="13"/>
      <c r="N826" s="15"/>
      <c r="O826" s="16"/>
      <c r="P826" s="13"/>
      <c r="Q826" s="13"/>
      <c r="R826" s="17"/>
      <c r="S826" s="13"/>
      <c r="T826" s="17"/>
      <c r="U826" s="13"/>
      <c r="V826" s="16"/>
      <c r="W826" s="13"/>
      <c r="X826" s="13"/>
      <c r="Y826" s="14"/>
      <c r="Z826" s="2"/>
      <c r="AA826" s="13">
        <f>H826*I826/100</f>
      </c>
      <c r="AB826" s="13">
        <f>H826*J826/100</f>
      </c>
      <c r="AC826" s="15">
        <f>H826*K826</f>
      </c>
      <c r="AD826" s="15">
        <f>H826*M826</f>
      </c>
      <c r="AE826" s="13">
        <f>H826*L826/100</f>
      </c>
      <c r="AF826" s="13">
        <f>AA826+AB826+AE826</f>
      </c>
      <c r="AG826" s="13">
        <f>I826+J826+L826</f>
      </c>
      <c r="AH826" s="18">
        <f>$H826*I826</f>
      </c>
      <c r="AI826" s="18">
        <f>$H826*J826</f>
      </c>
      <c r="AJ826" s="18">
        <f>$H826*K826</f>
      </c>
      <c r="AK826" s="18">
        <f>$H826*L826</f>
      </c>
      <c r="AL826" s="18">
        <f>$H826*M826</f>
      </c>
      <c r="AM826" s="14"/>
      <c r="AN826" s="14"/>
      <c r="AO826" s="14"/>
    </row>
    <row x14ac:dyDescent="0.25" r="827" customHeight="1" ht="17.25">
      <c r="A827" s="2" t="s">
        <v>1633</v>
      </c>
      <c r="B827" s="2" t="s">
        <v>1622</v>
      </c>
      <c r="C827" s="2" t="s">
        <v>40</v>
      </c>
      <c r="D827" s="2" t="s">
        <v>41</v>
      </c>
      <c r="E827" s="2" t="s">
        <v>52</v>
      </c>
      <c r="F827" s="2" t="s">
        <v>659</v>
      </c>
      <c r="G827" s="2" t="s">
        <v>66</v>
      </c>
      <c r="H827" s="13">
        <f>0.57+5.3+24.75</f>
      </c>
      <c r="I827" s="13"/>
      <c r="J827" s="13">
        <f>(2.71*0.57+3.86*5.3+3.86*24.75)/H827</f>
      </c>
      <c r="K827" s="14"/>
      <c r="L827" s="13"/>
      <c r="M827" s="13"/>
      <c r="N827" s="15"/>
      <c r="O827" s="16"/>
      <c r="P827" s="13"/>
      <c r="Q827" s="13"/>
      <c r="R827" s="17"/>
      <c r="S827" s="13"/>
      <c r="T827" s="17"/>
      <c r="U827" s="13"/>
      <c r="V827" s="16"/>
      <c r="W827" s="13"/>
      <c r="X827" s="13"/>
      <c r="Y827" s="14"/>
      <c r="Z827" s="2"/>
      <c r="AA827" s="13">
        <f>H827*I827/100</f>
      </c>
      <c r="AB827" s="13">
        <f>H827*J827/100</f>
      </c>
      <c r="AC827" s="15">
        <f>H827*K827</f>
      </c>
      <c r="AD827" s="15">
        <f>H827*M827</f>
      </c>
      <c r="AE827" s="13">
        <f>H827*L827/100</f>
      </c>
      <c r="AF827" s="13">
        <f>AA827+AB827+AE827</f>
      </c>
      <c r="AG827" s="13">
        <f>I827+J827+L827</f>
      </c>
      <c r="AH827" s="18">
        <f>$H827*I827</f>
      </c>
      <c r="AI827" s="18">
        <f>$H827*J827</f>
      </c>
      <c r="AJ827" s="18">
        <f>$H827*K827</f>
      </c>
      <c r="AK827" s="18">
        <f>$H827*L827</f>
      </c>
      <c r="AL827" s="18">
        <f>$H827*M827</f>
      </c>
      <c r="AM827" s="14"/>
      <c r="AN827" s="14"/>
      <c r="AO827" s="14"/>
    </row>
    <row x14ac:dyDescent="0.25" r="828" customHeight="1" ht="17.25">
      <c r="A828" s="2" t="s">
        <v>1634</v>
      </c>
      <c r="B828" s="2" t="s">
        <v>1622</v>
      </c>
      <c r="C828" s="2" t="s">
        <v>159</v>
      </c>
      <c r="D828" s="2"/>
      <c r="E828" s="12" t="s">
        <v>42</v>
      </c>
      <c r="F828" s="2" t="s">
        <v>1635</v>
      </c>
      <c r="G828" s="2" t="s">
        <v>1636</v>
      </c>
      <c r="H828" s="13">
        <f>18.23+9.65</f>
      </c>
      <c r="I828" s="13"/>
      <c r="J828" s="13">
        <f>(0.19*18.23+0.31*9.65)/(18.23+9.65)</f>
      </c>
      <c r="K828" s="13">
        <f>((31.1*0.44*18.23+0*9.65)/(18.23+9.65))</f>
      </c>
      <c r="L828" s="13">
        <f>(0.49*18.23+0.29*9.65)/(18.23+9.65)</f>
      </c>
      <c r="M828" s="13">
        <f>((31.1*0.015*18.23+0*9.65)/(18.23+9.65))</f>
      </c>
      <c r="N828" s="15"/>
      <c r="O828" s="16"/>
      <c r="P828" s="13"/>
      <c r="Q828" s="13"/>
      <c r="R828" s="17"/>
      <c r="S828" s="13"/>
      <c r="T828" s="17"/>
      <c r="U828" s="13"/>
      <c r="V828" s="16"/>
      <c r="W828" s="13"/>
      <c r="X828" s="13"/>
      <c r="Y828" s="14"/>
      <c r="Z828" s="2"/>
      <c r="AA828" s="13">
        <f>H828*I828/100</f>
      </c>
      <c r="AB828" s="13">
        <f>H828*J828/100</f>
      </c>
      <c r="AC828" s="15">
        <f>H828*K828</f>
      </c>
      <c r="AD828" s="15">
        <f>H828*M828</f>
      </c>
      <c r="AE828" s="13">
        <f>H828*L828/100</f>
      </c>
      <c r="AF828" s="13">
        <f>AA828+AB828+AE828</f>
      </c>
      <c r="AG828" s="13">
        <f>I828+J828+L828</f>
      </c>
      <c r="AH828" s="18">
        <f>$H828*I828</f>
      </c>
      <c r="AI828" s="18">
        <f>$H828*J828</f>
      </c>
      <c r="AJ828" s="18">
        <f>$H828*K828</f>
      </c>
      <c r="AK828" s="18">
        <f>$H828*L828</f>
      </c>
      <c r="AL828" s="18">
        <f>$H828*M828</f>
      </c>
      <c r="AM828" s="14"/>
      <c r="AN828" s="14"/>
      <c r="AO828" s="14"/>
    </row>
    <row x14ac:dyDescent="0.25" r="829" customHeight="1" ht="17.25">
      <c r="A829" s="2" t="s">
        <v>1637</v>
      </c>
      <c r="B829" s="2" t="s">
        <v>1622</v>
      </c>
      <c r="C829" s="2" t="s">
        <v>50</v>
      </c>
      <c r="D829" s="2"/>
      <c r="E829" s="2" t="s">
        <v>52</v>
      </c>
      <c r="F829" s="2" t="s">
        <v>1279</v>
      </c>
      <c r="G829" s="2" t="s">
        <v>617</v>
      </c>
      <c r="H829" s="16">
        <f>(0.014+7.783+0.007+0.761+2.385)*0.9072</f>
      </c>
      <c r="I829" s="15">
        <f>(3*0.014+3.3*7.783+4.4*0.007+3.2*0.761+2.7*2.385)/(0.014+7.783+0.007+0.761+2.385)</f>
      </c>
      <c r="J829" s="15">
        <f>(8.1*0.014+8.7*7.783+10.5*0.007+7.3*0.761+6.5*2.385)/(0.014+7.783+0.007+0.761+2.385)</f>
      </c>
      <c r="K829" s="17">
        <f>((12.9*0.014+11.9*7.783+17.6*0.007+12.2*0.761+13.3*2.385)/(0.014+7.783+0.007+0.761+2.385))*31.1/0.9072</f>
      </c>
      <c r="L829" s="13"/>
      <c r="M829" s="15">
        <f>((0.13*0.014+0.09*7.783+0.08*0.007+0.09*0.761+0.09*2.385)/(0.014+7.783+0.007+0.761+2.385))*31.1/0.9072</f>
      </c>
      <c r="N829" s="15"/>
      <c r="O829" s="16"/>
      <c r="P829" s="13"/>
      <c r="Q829" s="13"/>
      <c r="R829" s="17"/>
      <c r="S829" s="13"/>
      <c r="T829" s="17"/>
      <c r="U829" s="13"/>
      <c r="V829" s="16"/>
      <c r="W829" s="13"/>
      <c r="X829" s="13"/>
      <c r="Y829" s="14"/>
      <c r="Z829" s="2"/>
      <c r="AA829" s="13">
        <f>H829*I829/100</f>
      </c>
      <c r="AB829" s="13">
        <f>H829*J829/100</f>
      </c>
      <c r="AC829" s="15">
        <f>H829*K829</f>
      </c>
      <c r="AD829" s="15">
        <f>H829*M829</f>
      </c>
      <c r="AE829" s="13">
        <f>H829*L829/100</f>
      </c>
      <c r="AF829" s="13">
        <f>AA829+AB829+AE829</f>
      </c>
      <c r="AG829" s="13">
        <f>I829+J829+L829</f>
      </c>
      <c r="AH829" s="18">
        <f>$H829*I829</f>
      </c>
      <c r="AI829" s="18">
        <f>$H829*J829</f>
      </c>
      <c r="AJ829" s="18">
        <f>$H829*K829</f>
      </c>
      <c r="AK829" s="18">
        <f>$H829*L829</f>
      </c>
      <c r="AL829" s="18">
        <f>$H829*M829</f>
      </c>
      <c r="AM829" s="14"/>
      <c r="AN829" s="14"/>
      <c r="AO829" s="14"/>
    </row>
    <row x14ac:dyDescent="0.25" r="830" customHeight="1" ht="17.25">
      <c r="A830" s="2" t="s">
        <v>1638</v>
      </c>
      <c r="B830" s="2" t="s">
        <v>1622</v>
      </c>
      <c r="C830" s="2" t="s">
        <v>40</v>
      </c>
      <c r="D830" s="2" t="s">
        <v>64</v>
      </c>
      <c r="E830" s="2" t="s">
        <v>52</v>
      </c>
      <c r="F830" s="2" t="s">
        <v>1639</v>
      </c>
      <c r="G830" s="2" t="s">
        <v>73</v>
      </c>
      <c r="H830" s="13">
        <f>18.11+5.34</f>
      </c>
      <c r="I830" s="13">
        <f>(2.72*18.11+2.69*5.34)/$H830</f>
      </c>
      <c r="J830" s="13">
        <f>(8.1*18.11+8.66*5.34)/$H830</f>
      </c>
      <c r="K830" s="15">
        <f>(50.2*18.11+38*5.34)/$H830</f>
      </c>
      <c r="L830" s="13"/>
      <c r="M830" s="13"/>
      <c r="N830" s="15"/>
      <c r="O830" s="16"/>
      <c r="P830" s="13"/>
      <c r="Q830" s="13"/>
      <c r="R830" s="17"/>
      <c r="S830" s="13"/>
      <c r="T830" s="17"/>
      <c r="U830" s="13"/>
      <c r="V830" s="16"/>
      <c r="W830" s="13"/>
      <c r="X830" s="13"/>
      <c r="Y830" s="14"/>
      <c r="Z830" s="2"/>
      <c r="AA830" s="13">
        <f>H830*I830/100</f>
      </c>
      <c r="AB830" s="13">
        <f>H830*J830/100</f>
      </c>
      <c r="AC830" s="15">
        <f>H830*K830</f>
      </c>
      <c r="AD830" s="15">
        <f>H830*M830</f>
      </c>
      <c r="AE830" s="13">
        <f>H830*L830/100</f>
      </c>
      <c r="AF830" s="13">
        <f>AA830+AB830+AE830</f>
      </c>
      <c r="AG830" s="13">
        <f>I830+J830+L830</f>
      </c>
      <c r="AH830" s="18">
        <f>$H830*I830</f>
      </c>
      <c r="AI830" s="18">
        <f>$H830*J830</f>
      </c>
      <c r="AJ830" s="18">
        <f>$H830*K830</f>
      </c>
      <c r="AK830" s="18">
        <f>$H830*L830</f>
      </c>
      <c r="AL830" s="18">
        <f>$H830*M830</f>
      </c>
      <c r="AM830" s="14"/>
      <c r="AN830" s="14"/>
      <c r="AO830" s="14"/>
    </row>
    <row x14ac:dyDescent="0.25" r="831" customHeight="1" ht="17.25">
      <c r="A831" s="2" t="s">
        <v>1640</v>
      </c>
      <c r="B831" s="2" t="s">
        <v>1622</v>
      </c>
      <c r="C831" s="2" t="s">
        <v>159</v>
      </c>
      <c r="D831" s="2"/>
      <c r="E831" s="12" t="s">
        <v>42</v>
      </c>
      <c r="F831" s="2" t="s">
        <v>1641</v>
      </c>
      <c r="G831" s="2" t="s">
        <v>1642</v>
      </c>
      <c r="H831" s="15">
        <f>7.4*0.9072</f>
      </c>
      <c r="I831" s="13"/>
      <c r="J831" s="14">
        <v>5</v>
      </c>
      <c r="K831" s="17">
        <f>1.2*31.1/0.9072</f>
      </c>
      <c r="L831" s="13">
        <v>2.2</v>
      </c>
      <c r="M831" s="15">
        <f>0.006*31.1/0.9072</f>
      </c>
      <c r="N831" s="15"/>
      <c r="O831" s="16"/>
      <c r="P831" s="13"/>
      <c r="Q831" s="13"/>
      <c r="R831" s="17"/>
      <c r="S831" s="13"/>
      <c r="T831" s="17"/>
      <c r="U831" s="13"/>
      <c r="V831" s="16"/>
      <c r="W831" s="13"/>
      <c r="X831" s="13"/>
      <c r="Y831" s="14"/>
      <c r="Z831" s="2"/>
      <c r="AA831" s="13">
        <f>H831*I831/100</f>
      </c>
      <c r="AB831" s="13">
        <f>H831*J831/100</f>
      </c>
      <c r="AC831" s="15">
        <f>H831*K831</f>
      </c>
      <c r="AD831" s="15">
        <f>H831*M831</f>
      </c>
      <c r="AE831" s="13">
        <f>H831*L831/100</f>
      </c>
      <c r="AF831" s="13">
        <f>AA831+AB831+AE831</f>
      </c>
      <c r="AG831" s="13">
        <f>I831+J831+L831</f>
      </c>
      <c r="AH831" s="18">
        <f>$H831*I831</f>
      </c>
      <c r="AI831" s="18">
        <f>$H831*J831</f>
      </c>
      <c r="AJ831" s="18">
        <f>$H831*K831</f>
      </c>
      <c r="AK831" s="18">
        <f>$H831*L831</f>
      </c>
      <c r="AL831" s="18">
        <f>$H831*M831</f>
      </c>
      <c r="AM831" s="14"/>
      <c r="AN831" s="14"/>
      <c r="AO831" s="14"/>
    </row>
    <row x14ac:dyDescent="0.25" r="832" customHeight="1" ht="17.25">
      <c r="A832" s="2" t="s">
        <v>1643</v>
      </c>
      <c r="B832" s="2" t="s">
        <v>1622</v>
      </c>
      <c r="C832" s="2" t="s">
        <v>442</v>
      </c>
      <c r="D832" s="2" t="s">
        <v>1631</v>
      </c>
      <c r="E832" s="2" t="s">
        <v>52</v>
      </c>
      <c r="F832" s="2" t="s">
        <v>1279</v>
      </c>
      <c r="G832" s="2" t="s">
        <v>617</v>
      </c>
      <c r="H832" s="16">
        <f>(3.708+2.698+12.279+9.318+7.481)*0.9072</f>
      </c>
      <c r="I832" s="15">
        <f>(7.3*3.708+7.2*2.698+3.6*12.279+3.4*9.318+4.9*7.481)/(3.708+2.698+12.279+9.318+7.481)</f>
      </c>
      <c r="J832" s="15">
        <f>(2.3*3.708+2.6*2.698+2.2*12.279+1.9*9.318+1.9*7.481)/(3.708+2.698+12.279+9.318+4.9*7.481)</f>
      </c>
      <c r="K832" s="17">
        <f>((12.1*3.708+12*2.698+5.5*12.279+5.2*9.318+7.4*7.481)/(3.708+2.698+12.279+9.318+7.481))*31.1/0.9072</f>
      </c>
      <c r="L832" s="13"/>
      <c r="M832" s="13"/>
      <c r="N832" s="15"/>
      <c r="O832" s="16"/>
      <c r="P832" s="13"/>
      <c r="Q832" s="13"/>
      <c r="R832" s="17"/>
      <c r="S832" s="13"/>
      <c r="T832" s="17"/>
      <c r="U832" s="13"/>
      <c r="V832" s="16"/>
      <c r="W832" s="13"/>
      <c r="X832" s="13"/>
      <c r="Y832" s="14"/>
      <c r="Z832" s="2"/>
      <c r="AA832" s="13">
        <f>H832*I832/100</f>
      </c>
      <c r="AB832" s="13">
        <f>H832*J832/100</f>
      </c>
      <c r="AC832" s="15">
        <f>H832*K832</f>
      </c>
      <c r="AD832" s="15">
        <f>H832*M832</f>
      </c>
      <c r="AE832" s="13">
        <f>H832*L832/100</f>
      </c>
      <c r="AF832" s="13">
        <f>AA832+AB832+AE832</f>
      </c>
      <c r="AG832" s="13">
        <f>I832+J832+L832</f>
      </c>
      <c r="AH832" s="18">
        <f>$H832*I832</f>
      </c>
      <c r="AI832" s="18">
        <f>$H832*J832</f>
      </c>
      <c r="AJ832" s="18">
        <f>$H832*K832</f>
      </c>
      <c r="AK832" s="18">
        <f>$H832*L832</f>
      </c>
      <c r="AL832" s="18">
        <f>$H832*M832</f>
      </c>
      <c r="AM832" s="14"/>
      <c r="AN832" s="14"/>
      <c r="AO832" s="14"/>
    </row>
    <row x14ac:dyDescent="0.25" r="833" customHeight="1" ht="17.25">
      <c r="A833" s="2" t="s">
        <v>1644</v>
      </c>
      <c r="B833" s="2" t="s">
        <v>1622</v>
      </c>
      <c r="C833" s="2" t="s">
        <v>40</v>
      </c>
      <c r="D833" s="2" t="s">
        <v>41</v>
      </c>
      <c r="E833" s="2" t="s">
        <v>52</v>
      </c>
      <c r="F833" s="2" t="s">
        <v>659</v>
      </c>
      <c r="G833" s="2" t="s">
        <v>66</v>
      </c>
      <c r="H833" s="13">
        <f>4.89+15.21</f>
      </c>
      <c r="I833" s="13"/>
      <c r="J833" s="13">
        <f>(3.78*4.89+3.67*15.21)/H833</f>
      </c>
      <c r="K833" s="14"/>
      <c r="L833" s="13"/>
      <c r="M833" s="13"/>
      <c r="N833" s="15"/>
      <c r="O833" s="16"/>
      <c r="P833" s="13"/>
      <c r="Q833" s="13"/>
      <c r="R833" s="17"/>
      <c r="S833" s="13"/>
      <c r="T833" s="17"/>
      <c r="U833" s="13"/>
      <c r="V833" s="16"/>
      <c r="W833" s="13"/>
      <c r="X833" s="13"/>
      <c r="Y833" s="14"/>
      <c r="Z833" s="2"/>
      <c r="AA833" s="13">
        <f>H833*I833/100</f>
      </c>
      <c r="AB833" s="13">
        <f>H833*J833/100</f>
      </c>
      <c r="AC833" s="15">
        <f>H833*K833</f>
      </c>
      <c r="AD833" s="15">
        <f>H833*M833</f>
      </c>
      <c r="AE833" s="13">
        <f>H833*L833/100</f>
      </c>
      <c r="AF833" s="13">
        <f>AA833+AB833+AE833</f>
      </c>
      <c r="AG833" s="13">
        <f>I833+J833+L833</f>
      </c>
      <c r="AH833" s="18">
        <f>$H833*I833</f>
      </c>
      <c r="AI833" s="18">
        <f>$H833*J833</f>
      </c>
      <c r="AJ833" s="18">
        <f>$H833*K833</f>
      </c>
      <c r="AK833" s="18">
        <f>$H833*L833</f>
      </c>
      <c r="AL833" s="18">
        <f>$H833*M833</f>
      </c>
      <c r="AM833" s="14"/>
      <c r="AN833" s="14"/>
      <c r="AO833" s="14"/>
    </row>
    <row x14ac:dyDescent="0.25" r="834" customHeight="1" ht="17.25">
      <c r="A834" s="2" t="s">
        <v>1645</v>
      </c>
      <c r="B834" s="2" t="s">
        <v>1622</v>
      </c>
      <c r="C834" s="2" t="s">
        <v>68</v>
      </c>
      <c r="D834" s="2" t="s">
        <v>1646</v>
      </c>
      <c r="E834" s="2" t="s">
        <v>52</v>
      </c>
      <c r="F834" s="2" t="s">
        <v>1647</v>
      </c>
      <c r="G834" s="2" t="s">
        <v>1648</v>
      </c>
      <c r="H834" s="16">
        <f>37.778*0.9072</f>
      </c>
      <c r="I834" s="13">
        <v>0.163</v>
      </c>
      <c r="J834" s="13">
        <v>0.476</v>
      </c>
      <c r="K834" s="13">
        <f>0.211*31.1/0.9072</f>
      </c>
      <c r="L834" s="13"/>
      <c r="M834" s="13">
        <f>0.0128*31.1/0.9072</f>
      </c>
      <c r="N834" s="15"/>
      <c r="O834" s="16"/>
      <c r="P834" s="13"/>
      <c r="Q834" s="13"/>
      <c r="R834" s="17"/>
      <c r="S834" s="13"/>
      <c r="T834" s="17"/>
      <c r="U834" s="13"/>
      <c r="V834" s="16"/>
      <c r="W834" s="13"/>
      <c r="X834" s="13"/>
      <c r="Y834" s="14"/>
      <c r="Z834" s="2"/>
      <c r="AA834" s="13">
        <f>H834*I834/100</f>
      </c>
      <c r="AB834" s="13">
        <f>H834*J834/100</f>
      </c>
      <c r="AC834" s="15">
        <f>H834*K834</f>
      </c>
      <c r="AD834" s="15">
        <f>H834*M834</f>
      </c>
      <c r="AE834" s="13">
        <f>H834*L834/100</f>
      </c>
      <c r="AF834" s="13">
        <f>AA834+AB834+AE834</f>
      </c>
      <c r="AG834" s="13">
        <f>I834+J834+L834</f>
      </c>
      <c r="AH834" s="18">
        <f>$H834*I834</f>
      </c>
      <c r="AI834" s="18">
        <f>$H834*J834</f>
      </c>
      <c r="AJ834" s="18">
        <f>$H834*K834</f>
      </c>
      <c r="AK834" s="18">
        <f>$H834*L834</f>
      </c>
      <c r="AL834" s="18">
        <f>$H834*M834</f>
      </c>
      <c r="AM834" s="14"/>
      <c r="AN834" s="14"/>
      <c r="AO834" s="14"/>
    </row>
    <row x14ac:dyDescent="0.25" r="835" customHeight="1" ht="17.25">
      <c r="A835" s="2" t="s">
        <v>1649</v>
      </c>
      <c r="B835" s="2" t="s">
        <v>1622</v>
      </c>
      <c r="C835" s="2" t="s">
        <v>50</v>
      </c>
      <c r="D835" s="2"/>
      <c r="E835" s="2" t="s">
        <v>52</v>
      </c>
      <c r="F835" s="2" t="s">
        <v>1650</v>
      </c>
      <c r="G835" s="2" t="s">
        <v>1651</v>
      </c>
      <c r="H835" s="13">
        <f>5.638+1.023+2.37</f>
      </c>
      <c r="I835" s="13"/>
      <c r="J835" s="13">
        <f>(1.73*5.638+1.56*1.023+1.17*2.37)/$H835</f>
      </c>
      <c r="K835" s="15">
        <f>(29.52*5.638+16.56*1.023+21.63*2.37)/$H835</f>
      </c>
      <c r="L835" s="13">
        <f>(0.95*5.638+1*1.023+0.73*2.37)/$H835</f>
      </c>
      <c r="M835" s="13">
        <f>(1.75*5.638+1.11*1.023+1.42*2.37)/$H835</f>
      </c>
      <c r="N835" s="15"/>
      <c r="O835" s="16"/>
      <c r="P835" s="13"/>
      <c r="Q835" s="13"/>
      <c r="R835" s="17"/>
      <c r="S835" s="13"/>
      <c r="T835" s="17"/>
      <c r="U835" s="13"/>
      <c r="V835" s="16"/>
      <c r="W835" s="13"/>
      <c r="X835" s="13"/>
      <c r="Y835" s="14"/>
      <c r="Z835" s="2"/>
      <c r="AA835" s="13">
        <f>H835*I835/100</f>
      </c>
      <c r="AB835" s="13">
        <f>H835*J835/100</f>
      </c>
      <c r="AC835" s="15">
        <f>H835*K835</f>
      </c>
      <c r="AD835" s="15">
        <f>H835*M835</f>
      </c>
      <c r="AE835" s="13">
        <f>H835*L835/100</f>
      </c>
      <c r="AF835" s="13">
        <f>AA835+AB835+AE835</f>
      </c>
      <c r="AG835" s="13">
        <f>I835+J835+L835</f>
      </c>
      <c r="AH835" s="18">
        <f>$H835*I835</f>
      </c>
      <c r="AI835" s="18">
        <f>$H835*J835</f>
      </c>
      <c r="AJ835" s="18">
        <f>$H835*K835</f>
      </c>
      <c r="AK835" s="18">
        <f>$H835*L835</f>
      </c>
      <c r="AL835" s="18">
        <f>$H835*M835</f>
      </c>
      <c r="AM835" s="14"/>
      <c r="AN835" s="14"/>
      <c r="AO835" s="14"/>
    </row>
    <row x14ac:dyDescent="0.25" r="836" customHeight="1" ht="17.25">
      <c r="A836" s="2" t="s">
        <v>1652</v>
      </c>
      <c r="B836" s="2" t="s">
        <v>1622</v>
      </c>
      <c r="C836" s="2" t="s">
        <v>40</v>
      </c>
      <c r="D836" s="2" t="s">
        <v>41</v>
      </c>
      <c r="E836" s="2" t="s">
        <v>52</v>
      </c>
      <c r="F836" s="2" t="s">
        <v>531</v>
      </c>
      <c r="G836" s="2" t="s">
        <v>73</v>
      </c>
      <c r="H836" s="13">
        <f>3.7+2.9</f>
      </c>
      <c r="I836" s="15">
        <f>(1.1*3.7+1.3*2.9)/$H836</f>
      </c>
      <c r="J836" s="15">
        <f>(6.7*3.7+6.1*2.9)/$H836</f>
      </c>
      <c r="K836" s="14"/>
      <c r="L836" s="13"/>
      <c r="M836" s="13"/>
      <c r="N836" s="15"/>
      <c r="O836" s="16"/>
      <c r="P836" s="13"/>
      <c r="Q836" s="13"/>
      <c r="R836" s="17"/>
      <c r="S836" s="13"/>
      <c r="T836" s="17"/>
      <c r="U836" s="13"/>
      <c r="V836" s="16"/>
      <c r="W836" s="13"/>
      <c r="X836" s="13"/>
      <c r="Y836" s="14"/>
      <c r="Z836" s="2"/>
      <c r="AA836" s="13">
        <f>H836*I836/100</f>
      </c>
      <c r="AB836" s="13">
        <f>H836*J836/100</f>
      </c>
      <c r="AC836" s="15">
        <f>H836*K836</f>
      </c>
      <c r="AD836" s="15">
        <f>H836*M836</f>
      </c>
      <c r="AE836" s="13">
        <f>H836*L836/100</f>
      </c>
      <c r="AF836" s="13">
        <f>AA836+AB836+AE836</f>
      </c>
      <c r="AG836" s="13">
        <f>I836+J836+L836</f>
      </c>
      <c r="AH836" s="18">
        <f>$H836*I836</f>
      </c>
      <c r="AI836" s="18">
        <f>$H836*J836</f>
      </c>
      <c r="AJ836" s="18">
        <f>$H836*K836</f>
      </c>
      <c r="AK836" s="18">
        <f>$H836*L836</f>
      </c>
      <c r="AL836" s="18">
        <f>$H836*M836</f>
      </c>
      <c r="AM836" s="14"/>
      <c r="AN836" s="14"/>
      <c r="AO836" s="14"/>
    </row>
    <row x14ac:dyDescent="0.25" r="837" customHeight="1" ht="17.25">
      <c r="A837" s="2" t="s">
        <v>1653</v>
      </c>
      <c r="B837" s="2" t="s">
        <v>1622</v>
      </c>
      <c r="C837" s="2" t="s">
        <v>40</v>
      </c>
      <c r="D837" s="2" t="s">
        <v>64</v>
      </c>
      <c r="E837" s="2" t="s">
        <v>52</v>
      </c>
      <c r="F837" s="2" t="s">
        <v>531</v>
      </c>
      <c r="G837" s="2" t="s">
        <v>73</v>
      </c>
      <c r="H837" s="13">
        <f>45.4+7.5+0.2</f>
      </c>
      <c r="I837" s="15">
        <f>(4.1*45.4+6.9*7.5+3.4*0.2)/$H837</f>
      </c>
      <c r="J837" s="15">
        <f>(15.8*45.4+25.7*7.5+10.7*0.2)/$H837</f>
      </c>
      <c r="K837" s="15">
        <f>(72.6*45.4+137*7.5+68.8*0.2)/$H837</f>
      </c>
      <c r="L837" s="13"/>
      <c r="M837" s="13"/>
      <c r="N837" s="15"/>
      <c r="O837" s="16"/>
      <c r="P837" s="13"/>
      <c r="Q837" s="13"/>
      <c r="R837" s="17"/>
      <c r="S837" s="13"/>
      <c r="T837" s="17"/>
      <c r="U837" s="13"/>
      <c r="V837" s="16"/>
      <c r="W837" s="13"/>
      <c r="X837" s="13"/>
      <c r="Y837" s="14"/>
      <c r="Z837" s="2"/>
      <c r="AA837" s="13">
        <f>H837*I837/100</f>
      </c>
      <c r="AB837" s="13">
        <f>H837*J837/100</f>
      </c>
      <c r="AC837" s="15">
        <f>H837*K837</f>
      </c>
      <c r="AD837" s="15">
        <f>H837*M837</f>
      </c>
      <c r="AE837" s="13">
        <f>H837*L837/100</f>
      </c>
      <c r="AF837" s="13">
        <f>AA837+AB837+AE837</f>
      </c>
      <c r="AG837" s="13">
        <f>I837+J837+L837</f>
      </c>
      <c r="AH837" s="18">
        <f>$H837*I837</f>
      </c>
      <c r="AI837" s="18">
        <f>$H837*J837</f>
      </c>
      <c r="AJ837" s="18">
        <f>$H837*K837</f>
      </c>
      <c r="AK837" s="18">
        <f>$H837*L837</f>
      </c>
      <c r="AL837" s="18">
        <f>$H837*M837</f>
      </c>
      <c r="AM837" s="14"/>
      <c r="AN837" s="14"/>
      <c r="AO837" s="14"/>
    </row>
    <row x14ac:dyDescent="0.25" r="838" customHeight="1" ht="17.25">
      <c r="A838" s="2" t="s">
        <v>1654</v>
      </c>
      <c r="B838" s="2" t="s">
        <v>1622</v>
      </c>
      <c r="C838" s="2" t="s">
        <v>40</v>
      </c>
      <c r="D838" s="2" t="s">
        <v>41</v>
      </c>
      <c r="E838" s="12" t="s">
        <v>42</v>
      </c>
      <c r="F838" s="2" t="s">
        <v>1655</v>
      </c>
      <c r="G838" s="2" t="s">
        <v>46</v>
      </c>
      <c r="H838" s="13">
        <v>11.8</v>
      </c>
      <c r="I838" s="13"/>
      <c r="J838" s="13">
        <v>0.99</v>
      </c>
      <c r="K838" s="15"/>
      <c r="L838" s="13"/>
      <c r="M838" s="13"/>
      <c r="N838" s="15"/>
      <c r="O838" s="16"/>
      <c r="P838" s="13"/>
      <c r="Q838" s="13"/>
      <c r="R838" s="17"/>
      <c r="S838" s="13"/>
      <c r="T838" s="17"/>
      <c r="U838" s="13"/>
      <c r="V838" s="16"/>
      <c r="W838" s="13"/>
      <c r="X838" s="13"/>
      <c r="Y838" s="14"/>
      <c r="Z838" s="2"/>
      <c r="AA838" s="13">
        <f>H838*I838/100</f>
      </c>
      <c r="AB838" s="13">
        <f>H838*J838/100</f>
      </c>
      <c r="AC838" s="15">
        <f>H838*K838</f>
      </c>
      <c r="AD838" s="15">
        <f>H838*M838</f>
      </c>
      <c r="AE838" s="13">
        <f>H838*L838/100</f>
      </c>
      <c r="AF838" s="13">
        <f>AA838+AB838+AE838</f>
      </c>
      <c r="AG838" s="13">
        <f>I838+J838+L838</f>
      </c>
      <c r="AH838" s="18">
        <f>$H838*I838</f>
      </c>
      <c r="AI838" s="18">
        <f>$H838*J838</f>
      </c>
      <c r="AJ838" s="18">
        <f>$H838*K838</f>
      </c>
      <c r="AK838" s="18">
        <f>$H838*L838</f>
      </c>
      <c r="AL838" s="18">
        <f>$H838*M838</f>
      </c>
      <c r="AM838" s="14"/>
      <c r="AN838" s="14"/>
      <c r="AO838" s="14"/>
    </row>
    <row x14ac:dyDescent="0.25" r="839" customHeight="1" ht="17.25">
      <c r="A839" s="2" t="s">
        <v>1656</v>
      </c>
      <c r="B839" s="2" t="s">
        <v>1622</v>
      </c>
      <c r="C839" s="2" t="s">
        <v>56</v>
      </c>
      <c r="D839" s="2"/>
      <c r="E839" s="2" t="s">
        <v>52</v>
      </c>
      <c r="F839" s="2" t="s">
        <v>1657</v>
      </c>
      <c r="G839" s="2" t="s">
        <v>908</v>
      </c>
      <c r="H839" s="16">
        <f>(0.4856+0.6461)*0.9072</f>
      </c>
      <c r="I839" s="13">
        <f>(4.3*0.4856+3.04*0.6461)/(0.4856+0.6461)</f>
      </c>
      <c r="J839" s="13">
        <f>(1.37*0.4856+0.99*0.6461)/(0.4856+0.6461)</f>
      </c>
      <c r="K839" s="17">
        <f>((26.95*0.4856+14.93*0.6461)/(0.4856+0.6461))*31.1/0.9072</f>
      </c>
      <c r="L839" s="13">
        <f>(0.25*0.4856+0.13*0.6461)/(0.4856+0.6461)</f>
      </c>
      <c r="M839" s="13">
        <f>((0.044*0.4856+0.038*0.6461)/(0.4856+0.6461))*31.1/0.9072</f>
      </c>
      <c r="N839" s="15"/>
      <c r="O839" s="16"/>
      <c r="P839" s="13"/>
      <c r="Q839" s="13"/>
      <c r="R839" s="17"/>
      <c r="S839" s="13"/>
      <c r="T839" s="17"/>
      <c r="U839" s="13"/>
      <c r="V839" s="16"/>
      <c r="W839" s="13"/>
      <c r="X839" s="13"/>
      <c r="Y839" s="14"/>
      <c r="Z839" s="2"/>
      <c r="AA839" s="13">
        <f>H839*I839/100</f>
      </c>
      <c r="AB839" s="13">
        <f>H839*J839/100</f>
      </c>
      <c r="AC839" s="15">
        <f>H839*K839</f>
      </c>
      <c r="AD839" s="15">
        <f>H839*M839</f>
      </c>
      <c r="AE839" s="13">
        <f>H839*L839/100</f>
      </c>
      <c r="AF839" s="13">
        <f>AA839+AB839+AE839</f>
      </c>
      <c r="AG839" s="13">
        <f>I839+J839+L839</f>
      </c>
      <c r="AH839" s="18">
        <f>$H839*I839</f>
      </c>
      <c r="AI839" s="18">
        <f>$H839*J839</f>
      </c>
      <c r="AJ839" s="18">
        <f>$H839*K839</f>
      </c>
      <c r="AK839" s="18">
        <f>$H839*L839</f>
      </c>
      <c r="AL839" s="18">
        <f>$H839*M839</f>
      </c>
      <c r="AM839" s="14"/>
      <c r="AN839" s="14"/>
      <c r="AO839" s="14"/>
    </row>
    <row x14ac:dyDescent="0.25" r="840" customHeight="1" ht="17.25">
      <c r="A840" s="2" t="s">
        <v>1658</v>
      </c>
      <c r="B840" s="2" t="s">
        <v>1622</v>
      </c>
      <c r="C840" s="2" t="s">
        <v>56</v>
      </c>
      <c r="D840" s="2"/>
      <c r="E840" s="2" t="s">
        <v>52</v>
      </c>
      <c r="F840" s="2" t="s">
        <v>1657</v>
      </c>
      <c r="G840" s="2" t="s">
        <v>908</v>
      </c>
      <c r="H840" s="16">
        <f>(0.2153+0.1007+0.0381)*0.9072</f>
      </c>
      <c r="I840" s="13">
        <f>(1.71*0.2153+1.96*0.1007+1.69*0.0381)/(0.2153+0.1007+0.0381)</f>
      </c>
      <c r="J840" s="13">
        <f>(1.69*0.2153+1.74*0.1007+0.92*0.0381)/(0.2153+0.1007+0.0381)</f>
      </c>
      <c r="K840" s="17">
        <f>((10.08*0.2153+10.92*0.1007+11.01*0.0381)/(0.2153+0.1007+0.0381))*31.1/0.9072</f>
      </c>
      <c r="L840" s="13"/>
      <c r="M840" s="13">
        <f>((0.034*0.2153+0.036*0.1007+0.025*0.0381)/(0.2153+0.1007+0.0381))*31.1/0.9072</f>
      </c>
      <c r="N840" s="15"/>
      <c r="O840" s="16"/>
      <c r="P840" s="13"/>
      <c r="Q840" s="13"/>
      <c r="R840" s="17"/>
      <c r="S840" s="13"/>
      <c r="T840" s="17"/>
      <c r="U840" s="13"/>
      <c r="V840" s="16"/>
      <c r="W840" s="13"/>
      <c r="X840" s="13"/>
      <c r="Y840" s="14"/>
      <c r="Z840" s="2"/>
      <c r="AA840" s="13">
        <f>H840*I840/100</f>
      </c>
      <c r="AB840" s="13">
        <f>H840*J840/100</f>
      </c>
      <c r="AC840" s="15">
        <f>H840*K840</f>
      </c>
      <c r="AD840" s="15">
        <f>H840*M840</f>
      </c>
      <c r="AE840" s="13">
        <f>H840*L840/100</f>
      </c>
      <c r="AF840" s="13">
        <f>AA840+AB840+AE840</f>
      </c>
      <c r="AG840" s="13">
        <f>I840+J840+L840</f>
      </c>
      <c r="AH840" s="18">
        <f>$H840*I840</f>
      </c>
      <c r="AI840" s="18">
        <f>$H840*J840</f>
      </c>
      <c r="AJ840" s="18">
        <f>$H840*K840</f>
      </c>
      <c r="AK840" s="18">
        <f>$H840*L840</f>
      </c>
      <c r="AL840" s="18">
        <f>$H840*M840</f>
      </c>
      <c r="AM840" s="14"/>
      <c r="AN840" s="14"/>
      <c r="AO840" s="14"/>
    </row>
    <row x14ac:dyDescent="0.25" r="841" customHeight="1" ht="17.25">
      <c r="A841" s="2" t="s">
        <v>1659</v>
      </c>
      <c r="B841" s="2" t="s">
        <v>1622</v>
      </c>
      <c r="C841" s="2" t="s">
        <v>56</v>
      </c>
      <c r="D841" s="2" t="s">
        <v>75</v>
      </c>
      <c r="E841" s="2" t="s">
        <v>52</v>
      </c>
      <c r="F841" s="2" t="s">
        <v>1279</v>
      </c>
      <c r="G841" s="2" t="s">
        <v>617</v>
      </c>
      <c r="H841" s="16">
        <f>(0.516+3.078)*0.9072</f>
      </c>
      <c r="I841" s="15">
        <f>(2.1*0.516+1.3*3.078)/(0.516+3.078)</f>
      </c>
      <c r="J841" s="15">
        <f>(1.1*0.516+1.1*3.078)/(0.516+3.078)</f>
      </c>
      <c r="K841" s="17">
        <f>((14.8*0.516+10.7*3.078)/(0.516+3.078))*31.1/0.9072</f>
      </c>
      <c r="L841" s="13"/>
      <c r="M841" s="13"/>
      <c r="N841" s="15"/>
      <c r="O841" s="16"/>
      <c r="P841" s="13"/>
      <c r="Q841" s="13"/>
      <c r="R841" s="17"/>
      <c r="S841" s="13"/>
      <c r="T841" s="17"/>
      <c r="U841" s="13"/>
      <c r="V841" s="16"/>
      <c r="W841" s="13"/>
      <c r="X841" s="13"/>
      <c r="Y841" s="14"/>
      <c r="Z841" s="2"/>
      <c r="AA841" s="13">
        <f>H841*I841/100</f>
      </c>
      <c r="AB841" s="13">
        <f>H841*J841/100</f>
      </c>
      <c r="AC841" s="15">
        <f>H841*K841</f>
      </c>
      <c r="AD841" s="15">
        <f>H841*M841</f>
      </c>
      <c r="AE841" s="13">
        <f>H841*L841/100</f>
      </c>
      <c r="AF841" s="13">
        <f>AA841+AB841+AE841</f>
      </c>
      <c r="AG841" s="13">
        <f>I841+J841+L841</f>
      </c>
      <c r="AH841" s="18">
        <f>$H841*I841</f>
      </c>
      <c r="AI841" s="18">
        <f>$H841*J841</f>
      </c>
      <c r="AJ841" s="18">
        <f>$H841*K841</f>
      </c>
      <c r="AK841" s="18">
        <f>$H841*L841</f>
      </c>
      <c r="AL841" s="18">
        <f>$H841*M841</f>
      </c>
      <c r="AM841" s="14"/>
      <c r="AN841" s="14"/>
      <c r="AO841" s="14"/>
    </row>
    <row x14ac:dyDescent="0.25" r="842" customHeight="1" ht="17.25">
      <c r="A842" s="2" t="s">
        <v>1660</v>
      </c>
      <c r="B842" s="2" t="s">
        <v>1622</v>
      </c>
      <c r="C842" s="2" t="s">
        <v>442</v>
      </c>
      <c r="D842" s="2" t="s">
        <v>1631</v>
      </c>
      <c r="E842" s="2" t="s">
        <v>52</v>
      </c>
      <c r="F842" s="2" t="s">
        <v>1279</v>
      </c>
      <c r="G842" s="2" t="s">
        <v>617</v>
      </c>
      <c r="H842" s="16">
        <f>(1.018+2.778)*0.9072</f>
      </c>
      <c r="I842" s="15">
        <f>(6.6*1.018+6.1*2.778)/(1.018+2.778)</f>
      </c>
      <c r="J842" s="15">
        <f>(7.7*1.018+5.7*2.778)/(1.018+2.778)</f>
      </c>
      <c r="K842" s="17">
        <f>((3.1*1.018+3.2*2.778)/(1.018+2.778))*31.1/0.9072</f>
      </c>
      <c r="L842" s="13"/>
      <c r="M842" s="13"/>
      <c r="N842" s="15"/>
      <c r="O842" s="16"/>
      <c r="P842" s="13"/>
      <c r="Q842" s="13"/>
      <c r="R842" s="17"/>
      <c r="S842" s="13"/>
      <c r="T842" s="17"/>
      <c r="U842" s="13"/>
      <c r="V842" s="16"/>
      <c r="W842" s="13"/>
      <c r="X842" s="13"/>
      <c r="Y842" s="14"/>
      <c r="Z842" s="2"/>
      <c r="AA842" s="13">
        <f>H842*I842/100</f>
      </c>
      <c r="AB842" s="13">
        <f>H842*J842/100</f>
      </c>
      <c r="AC842" s="15">
        <f>H842*K842</f>
      </c>
      <c r="AD842" s="15">
        <f>H842*M842</f>
      </c>
      <c r="AE842" s="13">
        <f>H842*L842/100</f>
      </c>
      <c r="AF842" s="13">
        <f>AA842+AB842+AE842</f>
      </c>
      <c r="AG842" s="13">
        <f>I842+J842+L842</f>
      </c>
      <c r="AH842" s="18">
        <f>$H842*I842</f>
      </c>
      <c r="AI842" s="18">
        <f>$H842*J842</f>
      </c>
      <c r="AJ842" s="18">
        <f>$H842*K842</f>
      </c>
      <c r="AK842" s="18">
        <f>$H842*L842</f>
      </c>
      <c r="AL842" s="18">
        <f>$H842*M842</f>
      </c>
      <c r="AM842" s="14"/>
      <c r="AN842" s="14"/>
      <c r="AO842" s="14"/>
    </row>
    <row x14ac:dyDescent="0.25" r="843" customHeight="1" ht="17.25">
      <c r="A843" s="2" t="s">
        <v>1661</v>
      </c>
      <c r="B843" s="2" t="s">
        <v>1622</v>
      </c>
      <c r="C843" s="2" t="s">
        <v>249</v>
      </c>
      <c r="D843" s="2"/>
      <c r="E843" s="2" t="s">
        <v>52</v>
      </c>
      <c r="F843" s="2" t="s">
        <v>1229</v>
      </c>
      <c r="G843" s="2" t="s">
        <v>1230</v>
      </c>
      <c r="H843" s="16">
        <f>9.115*0.9072</f>
      </c>
      <c r="I843" s="13">
        <v>0.35</v>
      </c>
      <c r="J843" s="13">
        <v>0.02</v>
      </c>
      <c r="K843" s="17">
        <f>24.4*31.1/0.9072</f>
      </c>
      <c r="L843" s="13">
        <v>0.26</v>
      </c>
      <c r="M843" s="13"/>
      <c r="N843" s="15"/>
      <c r="O843" s="16"/>
      <c r="P843" s="13"/>
      <c r="Q843" s="13"/>
      <c r="R843" s="17"/>
      <c r="S843" s="13"/>
      <c r="T843" s="17"/>
      <c r="U843" s="13"/>
      <c r="V843" s="16"/>
      <c r="W843" s="13"/>
      <c r="X843" s="13"/>
      <c r="Y843" s="14"/>
      <c r="Z843" s="2"/>
      <c r="AA843" s="13">
        <f>H843*I843/100</f>
      </c>
      <c r="AB843" s="13">
        <f>H843*J843/100</f>
      </c>
      <c r="AC843" s="15">
        <f>H843*K843</f>
      </c>
      <c r="AD843" s="15">
        <f>H843*M843</f>
      </c>
      <c r="AE843" s="13">
        <f>H843*L843/100</f>
      </c>
      <c r="AF843" s="13">
        <f>AA843+AB843+AE843</f>
      </c>
      <c r="AG843" s="13">
        <f>I843+J843+L843</f>
      </c>
      <c r="AH843" s="18">
        <f>$H843*I843</f>
      </c>
      <c r="AI843" s="18">
        <f>$H843*J843</f>
      </c>
      <c r="AJ843" s="18">
        <f>$H843*K843</f>
      </c>
      <c r="AK843" s="18">
        <f>$H843*L843</f>
      </c>
      <c r="AL843" s="18">
        <f>$H843*M843</f>
      </c>
      <c r="AM843" s="14"/>
      <c r="AN843" s="14"/>
      <c r="AO843" s="14"/>
    </row>
    <row x14ac:dyDescent="0.25" r="844" customHeight="1" ht="17.25">
      <c r="A844" s="2" t="s">
        <v>1662</v>
      </c>
      <c r="B844" s="2" t="s">
        <v>1622</v>
      </c>
      <c r="C844" s="2" t="s">
        <v>40</v>
      </c>
      <c r="D844" s="2"/>
      <c r="E844" s="12" t="s">
        <v>42</v>
      </c>
      <c r="F844" s="2" t="s">
        <v>43</v>
      </c>
      <c r="G844" s="2" t="s">
        <v>463</v>
      </c>
      <c r="H844" s="14">
        <v>34</v>
      </c>
      <c r="I844" s="15">
        <v>2</v>
      </c>
      <c r="J844" s="15">
        <v>8</v>
      </c>
      <c r="K844" s="17">
        <v>30</v>
      </c>
      <c r="L844" s="13"/>
      <c r="M844" s="13"/>
      <c r="N844" s="15"/>
      <c r="O844" s="16"/>
      <c r="P844" s="13"/>
      <c r="Q844" s="13"/>
      <c r="R844" s="17"/>
      <c r="S844" s="13"/>
      <c r="T844" s="17"/>
      <c r="U844" s="13"/>
      <c r="V844" s="16"/>
      <c r="W844" s="13"/>
      <c r="X844" s="13"/>
      <c r="Y844" s="14"/>
      <c r="Z844" s="2"/>
      <c r="AA844" s="13">
        <f>H844*I844/100</f>
      </c>
      <c r="AB844" s="13">
        <f>H844*J844/100</f>
      </c>
      <c r="AC844" s="15">
        <f>H844*K844</f>
      </c>
      <c r="AD844" s="15">
        <f>H844*M844</f>
      </c>
      <c r="AE844" s="13">
        <f>H844*L844/100</f>
      </c>
      <c r="AF844" s="13">
        <f>AA844+AB844+AE844</f>
      </c>
      <c r="AG844" s="13">
        <f>I844+J844+L844</f>
      </c>
      <c r="AH844" s="18">
        <f>$H844*I844</f>
      </c>
      <c r="AI844" s="18">
        <f>$H844*J844</f>
      </c>
      <c r="AJ844" s="18">
        <f>$H844*K844</f>
      </c>
      <c r="AK844" s="18">
        <f>$H844*L844</f>
      </c>
      <c r="AL844" s="18">
        <f>$H844*M844</f>
      </c>
      <c r="AM844" s="14"/>
      <c r="AN844" s="14"/>
      <c r="AO844" s="14"/>
    </row>
    <row x14ac:dyDescent="0.25" r="845" customHeight="1" ht="17.25">
      <c r="A845" s="2" t="s">
        <v>1663</v>
      </c>
      <c r="B845" s="2" t="s">
        <v>1622</v>
      </c>
      <c r="C845" s="2" t="s">
        <v>50</v>
      </c>
      <c r="D845" s="2"/>
      <c r="E845" s="2" t="s">
        <v>52</v>
      </c>
      <c r="F845" s="2" t="s">
        <v>1664</v>
      </c>
      <c r="G845" s="2" t="s">
        <v>407</v>
      </c>
      <c r="H845" s="13">
        <f>23.848+3.363</f>
      </c>
      <c r="I845" s="13">
        <f>(0.76*23.848+0.58*3.363)/$H845</f>
      </c>
      <c r="J845" s="13">
        <f>(4.45*23.848+3.84*3.363)/$H845</f>
      </c>
      <c r="K845" s="15">
        <f>(53.2*23.848+41.5*3.363)/$H845</f>
      </c>
      <c r="L845" s="13">
        <f>(3.26*23.848+3.22*3.363)/$H845</f>
      </c>
      <c r="M845" s="13">
        <f>(0.71*23.848+0.59*3.363)/$H845</f>
      </c>
      <c r="N845" s="15"/>
      <c r="O845" s="16"/>
      <c r="P845" s="13"/>
      <c r="Q845" s="13"/>
      <c r="R845" s="17"/>
      <c r="S845" s="13"/>
      <c r="T845" s="17"/>
      <c r="U845" s="13"/>
      <c r="V845" s="16"/>
      <c r="W845" s="13"/>
      <c r="X845" s="13"/>
      <c r="Y845" s="14"/>
      <c r="Z845" s="2"/>
      <c r="AA845" s="13">
        <f>H845*I845/100</f>
      </c>
      <c r="AB845" s="13">
        <f>H845*J845/100</f>
      </c>
      <c r="AC845" s="15">
        <f>H845*K845</f>
      </c>
      <c r="AD845" s="15">
        <f>H845*M845</f>
      </c>
      <c r="AE845" s="13">
        <f>H845*L845/100</f>
      </c>
      <c r="AF845" s="13">
        <f>AA845+AB845+AE845</f>
      </c>
      <c r="AG845" s="13">
        <f>I845+J845+L845</f>
      </c>
      <c r="AH845" s="18">
        <f>$H845*I845</f>
      </c>
      <c r="AI845" s="18">
        <f>$H845*J845</f>
      </c>
      <c r="AJ845" s="18">
        <f>$H845*K845</f>
      </c>
      <c r="AK845" s="18">
        <f>$H845*L845</f>
      </c>
      <c r="AL845" s="18">
        <f>$H845*M845</f>
      </c>
      <c r="AM845" s="14"/>
      <c r="AN845" s="14"/>
      <c r="AO845" s="14"/>
    </row>
    <row x14ac:dyDescent="0.25" r="846" customHeight="1" ht="17.25">
      <c r="A846" s="2" t="s">
        <v>1665</v>
      </c>
      <c r="B846" s="2" t="s">
        <v>1622</v>
      </c>
      <c r="C846" s="2" t="s">
        <v>159</v>
      </c>
      <c r="D846" s="2"/>
      <c r="E846" s="2" t="s">
        <v>52</v>
      </c>
      <c r="F846" s="2" t="s">
        <v>1666</v>
      </c>
      <c r="G846" s="2" t="s">
        <v>581</v>
      </c>
      <c r="H846" s="13">
        <f>1.764+7.493+13.519+48.337</f>
      </c>
      <c r="I846" s="13"/>
      <c r="J846" s="13">
        <f>(2.81*1.764+2.5*7.493+2.09*13.519+1.69*48.337)/$H846</f>
      </c>
      <c r="K846" s="14"/>
      <c r="L846" s="13">
        <f>(0.16*1.764+0.13*7.493+0.22*13.519+0.22*48.337)/$H846</f>
      </c>
      <c r="M846" s="13"/>
      <c r="N846" s="15"/>
      <c r="O846" s="16"/>
      <c r="P846" s="13"/>
      <c r="Q846" s="13"/>
      <c r="R846" s="17">
        <f>(7*1.764+8*7.493+33*13.519+23*48.337)/$H846</f>
      </c>
      <c r="S846" s="13"/>
      <c r="T846" s="17">
        <f>(8*1.764+12*7.493+47*13.519+47*48.337)/$H846</f>
      </c>
      <c r="U846" s="13"/>
      <c r="V846" s="16"/>
      <c r="W846" s="13"/>
      <c r="X846" s="13"/>
      <c r="Y846" s="14"/>
      <c r="Z846" s="2"/>
      <c r="AA846" s="13">
        <f>H846*I846/100</f>
      </c>
      <c r="AB846" s="13">
        <f>H846*J846/100</f>
      </c>
      <c r="AC846" s="15">
        <f>H846*K846</f>
      </c>
      <c r="AD846" s="15">
        <f>H846*M846</f>
      </c>
      <c r="AE846" s="13">
        <f>H846*L846/100</f>
      </c>
      <c r="AF846" s="13">
        <f>AA846+AB846+AE846</f>
      </c>
      <c r="AG846" s="13">
        <f>I846+J846+L846</f>
      </c>
      <c r="AH846" s="18">
        <f>$H846*I846</f>
      </c>
      <c r="AI846" s="18">
        <f>$H846*J846</f>
      </c>
      <c r="AJ846" s="18">
        <f>$H846*K846</f>
      </c>
      <c r="AK846" s="18">
        <f>$H846*L846</f>
      </c>
      <c r="AL846" s="18">
        <f>$H846*M846</f>
      </c>
      <c r="AM846" s="14"/>
      <c r="AN846" s="14"/>
      <c r="AO846" s="14"/>
    </row>
    <row x14ac:dyDescent="0.25" r="847" customHeight="1" ht="17.25">
      <c r="A847" s="2" t="s">
        <v>1667</v>
      </c>
      <c r="B847" s="2" t="s">
        <v>1668</v>
      </c>
      <c r="C847" s="2" t="s">
        <v>50</v>
      </c>
      <c r="D847" s="2"/>
      <c r="E847" s="2" t="s">
        <v>52</v>
      </c>
      <c r="F847" s="2" t="s">
        <v>1669</v>
      </c>
      <c r="G847" s="2" t="s">
        <v>1670</v>
      </c>
      <c r="H847" s="13">
        <v>14.411999999999999</v>
      </c>
      <c r="I847" s="13">
        <v>3.5</v>
      </c>
      <c r="J847" s="13">
        <v>7.24</v>
      </c>
      <c r="K847" s="14">
        <v>134</v>
      </c>
      <c r="L847" s="13">
        <v>0.86</v>
      </c>
      <c r="M847" s="13">
        <v>0.38</v>
      </c>
      <c r="N847" s="15"/>
      <c r="O847" s="16"/>
      <c r="P847" s="13"/>
      <c r="Q847" s="13"/>
      <c r="R847" s="17"/>
      <c r="S847" s="13"/>
      <c r="T847" s="17"/>
      <c r="U847" s="13"/>
      <c r="V847" s="16"/>
      <c r="W847" s="13"/>
      <c r="X847" s="13"/>
      <c r="Y847" s="14"/>
      <c r="Z847" s="2"/>
      <c r="AA847" s="13">
        <f>H847*I847/100</f>
      </c>
      <c r="AB847" s="13">
        <f>H847*J847/100</f>
      </c>
      <c r="AC847" s="15">
        <f>H847*K847</f>
      </c>
      <c r="AD847" s="15">
        <f>H847*M847</f>
      </c>
      <c r="AE847" s="13">
        <f>H847*L847/100</f>
      </c>
      <c r="AF847" s="13">
        <f>AA847+AB847+AE847</f>
      </c>
      <c r="AG847" s="13">
        <f>I847+J847+L847</f>
      </c>
      <c r="AH847" s="18">
        <f>$H847*I847</f>
      </c>
      <c r="AI847" s="18">
        <f>$H847*J847</f>
      </c>
      <c r="AJ847" s="18">
        <f>$H847*K847</f>
      </c>
      <c r="AK847" s="18">
        <f>$H847*L847</f>
      </c>
      <c r="AL847" s="18">
        <f>$H847*M847</f>
      </c>
      <c r="AM847" s="14"/>
      <c r="AN847" s="14"/>
      <c r="AO847" s="14"/>
    </row>
    <row x14ac:dyDescent="0.25" r="848" customHeight="1" ht="17.25">
      <c r="A848" s="2" t="s">
        <v>1671</v>
      </c>
      <c r="B848" s="2" t="s">
        <v>1672</v>
      </c>
      <c r="C848" s="2" t="s">
        <v>50</v>
      </c>
      <c r="D848" s="2"/>
      <c r="E848" s="2" t="s">
        <v>52</v>
      </c>
      <c r="F848" s="2" t="s">
        <v>1673</v>
      </c>
      <c r="G848" s="2" t="s">
        <v>1200</v>
      </c>
      <c r="H848" s="16">
        <f>8.408+0.620856+0.620321+0.418935+15.707214</f>
      </c>
      <c r="I848" s="13">
        <f>(0.99*8.408+2.73*0.620856+1.9*0.620321+2.25*0.418935+0.17*15.707214)/$H848</f>
      </c>
      <c r="J848" s="13">
        <f>(1.9*8.408+5.26*0.620856+4.21*0.620321+4.72*0.418935+0.28*15.707214)/$H848</f>
      </c>
      <c r="K848" s="15">
        <f>(21.02*8.408+87.06*0.620856+22.55*0.620321+53.92*0.418935+4.86*15.707214)/$H848</f>
      </c>
      <c r="L848" s="13">
        <f>(0.23*8.408+1.43*0.620856+1.95*0.620321+1.63*0.418935+1.1*15.707214)/$H848</f>
      </c>
      <c r="M848" s="13">
        <f>(0.24*8.408+0.52*0.620856+0.19*0.620321+0.12*0.418935+0.09*15.707214)/$H848</f>
      </c>
      <c r="N848" s="15"/>
      <c r="O848" s="16"/>
      <c r="P848" s="13"/>
      <c r="Q848" s="13"/>
      <c r="R848" s="17"/>
      <c r="S848" s="13"/>
      <c r="T848" s="17"/>
      <c r="U848" s="13"/>
      <c r="V848" s="16"/>
      <c r="W848" s="13"/>
      <c r="X848" s="13"/>
      <c r="Y848" s="14"/>
      <c r="Z848" s="2"/>
      <c r="AA848" s="13">
        <f>H848*I848/100</f>
      </c>
      <c r="AB848" s="13">
        <f>H848*J848/100</f>
      </c>
      <c r="AC848" s="15">
        <f>H848*K848</f>
      </c>
      <c r="AD848" s="15">
        <f>H848*M848</f>
      </c>
      <c r="AE848" s="13">
        <f>H848*L848/100</f>
      </c>
      <c r="AF848" s="13">
        <f>AA848+AB848+AE848</f>
      </c>
      <c r="AG848" s="13">
        <f>I848+J848+L848</f>
      </c>
      <c r="AH848" s="18">
        <f>$H848*I848</f>
      </c>
      <c r="AI848" s="18">
        <f>$H848*J848</f>
      </c>
      <c r="AJ848" s="18">
        <f>$H848*K848</f>
      </c>
      <c r="AK848" s="18">
        <f>$H848*L848</f>
      </c>
      <c r="AL848" s="18">
        <f>$H848*M848</f>
      </c>
      <c r="AM848" s="14"/>
      <c r="AN848" s="14"/>
      <c r="AO848" s="14"/>
    </row>
    <row x14ac:dyDescent="0.25" r="849" customHeight="1" ht="17.25">
      <c r="A849" s="2" t="s">
        <v>1674</v>
      </c>
      <c r="B849" s="2" t="s">
        <v>1675</v>
      </c>
      <c r="C849" s="2" t="s">
        <v>40</v>
      </c>
      <c r="D849" s="2" t="s">
        <v>1676</v>
      </c>
      <c r="E849" s="2" t="s">
        <v>52</v>
      </c>
      <c r="F849" s="2" t="s">
        <v>1677</v>
      </c>
      <c r="G849" s="2" t="s">
        <v>1678</v>
      </c>
      <c r="H849" s="13">
        <v>12.6</v>
      </c>
      <c r="I849" s="13">
        <v>1.2</v>
      </c>
      <c r="J849" s="13">
        <v>8.9</v>
      </c>
      <c r="K849" s="14">
        <v>68</v>
      </c>
      <c r="L849" s="13"/>
      <c r="M849" s="13"/>
      <c r="N849" s="15"/>
      <c r="O849" s="16"/>
      <c r="P849" s="13"/>
      <c r="Q849" s="13"/>
      <c r="R849" s="17"/>
      <c r="S849" s="13"/>
      <c r="T849" s="17"/>
      <c r="U849" s="13"/>
      <c r="V849" s="16"/>
      <c r="W849" s="13"/>
      <c r="X849" s="13"/>
      <c r="Y849" s="14"/>
      <c r="Z849" s="2"/>
      <c r="AA849" s="13">
        <f>H849*I849/100</f>
      </c>
      <c r="AB849" s="13">
        <f>H849*J849/100</f>
      </c>
      <c r="AC849" s="15">
        <f>H849*K849</f>
      </c>
      <c r="AD849" s="15">
        <f>H849*M849</f>
      </c>
      <c r="AE849" s="13">
        <f>H849*L849/100</f>
      </c>
      <c r="AF849" s="13">
        <f>AA849+AB849+AE849</f>
      </c>
      <c r="AG849" s="13">
        <f>I849+J849+L849</f>
      </c>
      <c r="AH849" s="18">
        <f>$H849*I849</f>
      </c>
      <c r="AI849" s="18">
        <f>$H849*J849</f>
      </c>
      <c r="AJ849" s="18">
        <f>$H849*K849</f>
      </c>
      <c r="AK849" s="18">
        <f>$H849*L849</f>
      </c>
      <c r="AL849" s="18">
        <f>$H849*M849</f>
      </c>
      <c r="AM849" s="14"/>
      <c r="AN849" s="14"/>
      <c r="AO849" s="14"/>
    </row>
    <row x14ac:dyDescent="0.25" r="850" customHeight="1" ht="17.25">
      <c r="A850" s="2" t="s">
        <v>1679</v>
      </c>
      <c r="B850" s="2" t="s">
        <v>1675</v>
      </c>
      <c r="C850" s="2" t="s">
        <v>40</v>
      </c>
      <c r="D850" s="2" t="s">
        <v>1676</v>
      </c>
      <c r="E850" s="21" t="s">
        <v>1680</v>
      </c>
      <c r="F850" s="2" t="s">
        <v>1677</v>
      </c>
      <c r="G850" s="2" t="s">
        <v>1678</v>
      </c>
      <c r="H850" s="13">
        <v>0.12</v>
      </c>
      <c r="I850" s="13">
        <v>3.5</v>
      </c>
      <c r="J850" s="14">
        <v>24</v>
      </c>
      <c r="K850" s="14">
        <v>160</v>
      </c>
      <c r="L850" s="13"/>
      <c r="M850" s="13"/>
      <c r="N850" s="15"/>
      <c r="O850" s="16"/>
      <c r="P850" s="13"/>
      <c r="Q850" s="13"/>
      <c r="R850" s="17"/>
      <c r="S850" s="13"/>
      <c r="T850" s="17"/>
      <c r="U850" s="13"/>
      <c r="V850" s="16"/>
      <c r="W850" s="13"/>
      <c r="X850" s="13"/>
      <c r="Y850" s="14"/>
      <c r="Z850" s="2"/>
      <c r="AA850" s="13">
        <f>H850*I850/100</f>
      </c>
      <c r="AB850" s="13">
        <f>H850*J850/100</f>
      </c>
      <c r="AC850" s="15">
        <f>H850*K850</f>
      </c>
      <c r="AD850" s="15">
        <f>H850*M850</f>
      </c>
      <c r="AE850" s="13">
        <f>H850*L850/100</f>
      </c>
      <c r="AF850" s="13">
        <f>AA850+AB850+AE850</f>
      </c>
      <c r="AG850" s="13">
        <f>I850+J850+L850</f>
      </c>
      <c r="AH850" s="18">
        <f>$H850*I850</f>
      </c>
      <c r="AI850" s="18">
        <f>$H850*J850</f>
      </c>
      <c r="AJ850" s="18">
        <f>$H850*K850</f>
      </c>
      <c r="AK850" s="18">
        <f>$H850*L850</f>
      </c>
      <c r="AL850" s="18">
        <f>$H850*M850</f>
      </c>
      <c r="AM850" s="14"/>
      <c r="AN850" s="14"/>
      <c r="AO850" s="14"/>
    </row>
    <row x14ac:dyDescent="0.25" r="851" customHeight="1" ht="17.25">
      <c r="A851" s="2" t="s">
        <v>1681</v>
      </c>
      <c r="B851" s="2" t="s">
        <v>1682</v>
      </c>
      <c r="C851" s="2" t="s">
        <v>40</v>
      </c>
      <c r="D851" s="2" t="s">
        <v>41</v>
      </c>
      <c r="E851" s="12" t="s">
        <v>42</v>
      </c>
      <c r="F851" s="2" t="s">
        <v>1683</v>
      </c>
      <c r="G851" s="2" t="s">
        <v>877</v>
      </c>
      <c r="H851" s="13">
        <v>1.1</v>
      </c>
      <c r="I851" s="13">
        <v>2.8</v>
      </c>
      <c r="J851" s="14">
        <v>15</v>
      </c>
      <c r="K851" s="14"/>
      <c r="L851" s="13"/>
      <c r="M851" s="13"/>
      <c r="N851" s="15"/>
      <c r="O851" s="16"/>
      <c r="P851" s="13"/>
      <c r="Q851" s="13"/>
      <c r="R851" s="17"/>
      <c r="S851" s="13"/>
      <c r="T851" s="17"/>
      <c r="U851" s="13"/>
      <c r="V851" s="16"/>
      <c r="W851" s="13"/>
      <c r="X851" s="13"/>
      <c r="Y851" s="14"/>
      <c r="Z851" s="2"/>
      <c r="AA851" s="13">
        <f>H851*I851/100</f>
      </c>
      <c r="AB851" s="13">
        <f>H851*J851/100</f>
      </c>
      <c r="AC851" s="15">
        <f>H851*K851</f>
      </c>
      <c r="AD851" s="15">
        <f>H851*M851</f>
      </c>
      <c r="AE851" s="13">
        <f>H851*L851/100</f>
      </c>
      <c r="AF851" s="13">
        <f>AA851+AB851+AE851</f>
      </c>
      <c r="AG851" s="13">
        <f>I851+J851+L851</f>
      </c>
      <c r="AH851" s="18">
        <f>$H851*I851</f>
      </c>
      <c r="AI851" s="18">
        <f>$H851*J851</f>
      </c>
      <c r="AJ851" s="18">
        <f>$H851*K851</f>
      </c>
      <c r="AK851" s="18">
        <f>$H851*L851</f>
      </c>
      <c r="AL851" s="18">
        <f>$H851*M851</f>
      </c>
      <c r="AM851" s="14"/>
      <c r="AN851" s="14"/>
      <c r="AO851" s="14"/>
    </row>
    <row x14ac:dyDescent="0.25" r="852" customHeight="1" ht="17.25">
      <c r="A852" s="2" t="s">
        <v>1684</v>
      </c>
      <c r="B852" s="2" t="s">
        <v>1682</v>
      </c>
      <c r="C852" s="2" t="s">
        <v>40</v>
      </c>
      <c r="D852" s="2" t="s">
        <v>41</v>
      </c>
      <c r="E852" s="12" t="s">
        <v>42</v>
      </c>
      <c r="F852" s="2" t="s">
        <v>1683</v>
      </c>
      <c r="G852" s="2" t="s">
        <v>877</v>
      </c>
      <c r="H852" s="13">
        <v>0.6</v>
      </c>
      <c r="I852" s="13">
        <v>7.3</v>
      </c>
      <c r="J852" s="13">
        <v>10.5</v>
      </c>
      <c r="K852" s="14"/>
      <c r="L852" s="13"/>
      <c r="M852" s="13"/>
      <c r="N852" s="15"/>
      <c r="O852" s="16"/>
      <c r="P852" s="13"/>
      <c r="Q852" s="13"/>
      <c r="R852" s="17"/>
      <c r="S852" s="13"/>
      <c r="T852" s="17"/>
      <c r="U852" s="13"/>
      <c r="V852" s="16"/>
      <c r="W852" s="13"/>
      <c r="X852" s="13"/>
      <c r="Y852" s="14"/>
      <c r="Z852" s="2"/>
      <c r="AA852" s="13">
        <f>H852*I852/100</f>
      </c>
      <c r="AB852" s="13">
        <f>H852*J852/100</f>
      </c>
      <c r="AC852" s="15">
        <f>H852*K852</f>
      </c>
      <c r="AD852" s="15">
        <f>H852*M852</f>
      </c>
      <c r="AE852" s="13">
        <f>H852*L852/100</f>
      </c>
      <c r="AF852" s="13">
        <f>AA852+AB852+AE852</f>
      </c>
      <c r="AG852" s="13">
        <f>I852+J852+L852</f>
      </c>
      <c r="AH852" s="18">
        <f>$H852*I852</f>
      </c>
      <c r="AI852" s="18">
        <f>$H852*J852</f>
      </c>
      <c r="AJ852" s="18">
        <f>$H852*K852</f>
      </c>
      <c r="AK852" s="18">
        <f>$H852*L852</f>
      </c>
      <c r="AL852" s="18">
        <f>$H852*M852</f>
      </c>
      <c r="AM852" s="14"/>
      <c r="AN852" s="14"/>
      <c r="AO852" s="1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2023-12-05T19:12:09.327Z</dcterms:created>
  <dcterms:modified xsi:type="dcterms:W3CDTF">2023-12-05T19:12:09.327Z</dcterms:modified>
</cp:coreProperties>
</file>