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/>
  <mc:AlternateContent xmlns:mc="http://schemas.openxmlformats.org/markup-compatibility/2006">
    <mc:Choice Requires="x15">
      <x15ac:absPath xmlns:x15ac="http://schemas.microsoft.com/office/spreadsheetml/2010/11/ac" url="/Volumes/research/darpa-criticalmaas/ta2-table-understanding/examples/tables/"/>
    </mc:Choice>
  </mc:AlternateContent>
  <xr:revisionPtr revIDLastSave="0" documentId="13_ncr:1_{AB9ED3B8-34EA-804B-AC20-4DE8D71A0A92}" xr6:coauthVersionLast="47" xr6:coauthVersionMax="47" xr10:uidLastSave="{00000000-0000-0000-0000-000000000000}"/>
  <bookViews>
    <workbookView xWindow="0" yWindow="22100" windowWidth="38400" windowHeight="21100" xr2:uid="{00000000-000D-0000-FFFF-FFFF00000000}"/>
  </bookViews>
  <sheets>
    <sheet name="Sheet1" sheetId="1" r:id="rId1"/>
  </sheets>
  <definedNames>
    <definedName name="_xlnm._FilterDatabase" localSheetId="0">Sheet1!$A$1:$M$852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48" i="1" l="1"/>
  <c r="H848" i="1"/>
  <c r="M848" i="1" s="1"/>
  <c r="H846" i="1"/>
  <c r="K845" i="1"/>
  <c r="J845" i="1"/>
  <c r="I845" i="1"/>
  <c r="H845" i="1"/>
  <c r="M845" i="1" s="1"/>
  <c r="K843" i="1"/>
  <c r="H843" i="1"/>
  <c r="K842" i="1"/>
  <c r="J842" i="1"/>
  <c r="I842" i="1"/>
  <c r="H842" i="1"/>
  <c r="K841" i="1"/>
  <c r="J841" i="1"/>
  <c r="I841" i="1"/>
  <c r="H841" i="1"/>
  <c r="M840" i="1"/>
  <c r="K840" i="1"/>
  <c r="J840" i="1"/>
  <c r="I840" i="1"/>
  <c r="H840" i="1"/>
  <c r="M839" i="1"/>
  <c r="L839" i="1"/>
  <c r="K839" i="1"/>
  <c r="J839" i="1"/>
  <c r="I839" i="1"/>
  <c r="H839" i="1"/>
  <c r="K837" i="1"/>
  <c r="J837" i="1"/>
  <c r="H837" i="1"/>
  <c r="I837" i="1" s="1"/>
  <c r="H836" i="1"/>
  <c r="J836" i="1" s="1"/>
  <c r="M835" i="1"/>
  <c r="L835" i="1"/>
  <c r="K835" i="1"/>
  <c r="H835" i="1"/>
  <c r="M834" i="1"/>
  <c r="K834" i="1"/>
  <c r="H834" i="1"/>
  <c r="H833" i="1"/>
  <c r="J833" i="1" s="1"/>
  <c r="K832" i="1"/>
  <c r="J832" i="1"/>
  <c r="I832" i="1"/>
  <c r="H832" i="1"/>
  <c r="M831" i="1"/>
  <c r="K831" i="1"/>
  <c r="H831" i="1"/>
  <c r="J830" i="1"/>
  <c r="H830" i="1"/>
  <c r="I830" i="1" s="1"/>
  <c r="M829" i="1"/>
  <c r="K829" i="1"/>
  <c r="J829" i="1"/>
  <c r="I829" i="1"/>
  <c r="H829" i="1"/>
  <c r="M828" i="1"/>
  <c r="L828" i="1"/>
  <c r="K828" i="1"/>
  <c r="J828" i="1"/>
  <c r="H828" i="1"/>
  <c r="H827" i="1"/>
  <c r="J827" i="1" s="1"/>
  <c r="K826" i="1"/>
  <c r="I826" i="1"/>
  <c r="H826" i="1"/>
  <c r="H825" i="1"/>
  <c r="K825" i="1" s="1"/>
  <c r="J824" i="1"/>
  <c r="H824" i="1"/>
  <c r="M824" i="1" s="1"/>
  <c r="M823" i="1"/>
  <c r="L823" i="1"/>
  <c r="K823" i="1"/>
  <c r="J823" i="1"/>
  <c r="I823" i="1"/>
  <c r="H823" i="1"/>
  <c r="H822" i="1"/>
  <c r="M822" i="1" s="1"/>
  <c r="H820" i="1"/>
  <c r="M820" i="1" s="1"/>
  <c r="M817" i="1"/>
  <c r="H817" i="1"/>
  <c r="J817" i="1" s="1"/>
  <c r="H816" i="1"/>
  <c r="H807" i="1"/>
  <c r="L807" i="1" s="1"/>
  <c r="L805" i="1"/>
  <c r="H805" i="1"/>
  <c r="H804" i="1"/>
  <c r="H803" i="1"/>
  <c r="L803" i="1" s="1"/>
  <c r="L802" i="1"/>
  <c r="J802" i="1"/>
  <c r="I802" i="1"/>
  <c r="H802" i="1"/>
  <c r="K802" i="1" s="1"/>
  <c r="H799" i="1"/>
  <c r="H798" i="1"/>
  <c r="H797" i="1"/>
  <c r="H796" i="1"/>
  <c r="M796" i="1" s="1"/>
  <c r="M795" i="1"/>
  <c r="K795" i="1"/>
  <c r="H795" i="1"/>
  <c r="J795" i="1" s="1"/>
  <c r="H794" i="1"/>
  <c r="M793" i="1"/>
  <c r="K793" i="1"/>
  <c r="H793" i="1"/>
  <c r="L793" i="1" s="1"/>
  <c r="H792" i="1"/>
  <c r="L792" i="1" s="1"/>
  <c r="M786" i="1"/>
  <c r="L786" i="1"/>
  <c r="K786" i="1"/>
  <c r="H786" i="1"/>
  <c r="H785" i="1"/>
  <c r="K785" i="1" s="1"/>
  <c r="J784" i="1"/>
  <c r="H784" i="1"/>
  <c r="I784" i="1" s="1"/>
  <c r="H778" i="1"/>
  <c r="H777" i="1"/>
  <c r="H776" i="1"/>
  <c r="J776" i="1" s="1"/>
  <c r="J775" i="1"/>
  <c r="I775" i="1"/>
  <c r="H772" i="1"/>
  <c r="H771" i="1"/>
  <c r="M771" i="1" s="1"/>
  <c r="J769" i="1"/>
  <c r="H769" i="1"/>
  <c r="L765" i="1"/>
  <c r="H765" i="1"/>
  <c r="J765" i="1" s="1"/>
  <c r="L762" i="1"/>
  <c r="J762" i="1"/>
  <c r="I762" i="1"/>
  <c r="J759" i="1"/>
  <c r="I759" i="1"/>
  <c r="K758" i="1"/>
  <c r="H755" i="1"/>
  <c r="H753" i="1"/>
  <c r="K752" i="1"/>
  <c r="M751" i="1"/>
  <c r="M750" i="1"/>
  <c r="K750" i="1"/>
  <c r="J750" i="1"/>
  <c r="H750" i="1" s="1"/>
  <c r="K745" i="1"/>
  <c r="J742" i="1"/>
  <c r="H742" i="1"/>
  <c r="K738" i="1"/>
  <c r="I738" i="1"/>
  <c r="H738" i="1"/>
  <c r="M733" i="1"/>
  <c r="K733" i="1"/>
  <c r="J733" i="1"/>
  <c r="I733" i="1"/>
  <c r="H733" i="1"/>
  <c r="H726" i="1"/>
  <c r="H725" i="1"/>
  <c r="L721" i="1"/>
  <c r="J721" i="1"/>
  <c r="H721" i="1"/>
  <c r="J720" i="1"/>
  <c r="I720" i="1"/>
  <c r="H719" i="1"/>
  <c r="L719" i="1" s="1"/>
  <c r="H716" i="1"/>
  <c r="I716" i="1" s="1"/>
  <c r="H715" i="1"/>
  <c r="L715" i="1" s="1"/>
  <c r="J714" i="1"/>
  <c r="H714" i="1"/>
  <c r="H713" i="1"/>
  <c r="H712" i="1"/>
  <c r="J712" i="1" s="1"/>
  <c r="K711" i="1"/>
  <c r="H711" i="1"/>
  <c r="H710" i="1"/>
  <c r="K710" i="1" s="1"/>
  <c r="K709" i="1"/>
  <c r="K708" i="1"/>
  <c r="H706" i="1"/>
  <c r="J706" i="1" s="1"/>
  <c r="K705" i="1"/>
  <c r="K704" i="1"/>
  <c r="K703" i="1"/>
  <c r="K702" i="1"/>
  <c r="M701" i="1"/>
  <c r="L701" i="1"/>
  <c r="H701" i="1"/>
  <c r="K698" i="1"/>
  <c r="K697" i="1"/>
  <c r="H696" i="1"/>
  <c r="K696" i="1" s="1"/>
  <c r="K695" i="1"/>
  <c r="M693" i="1"/>
  <c r="K693" i="1"/>
  <c r="K692" i="1"/>
  <c r="L691" i="1"/>
  <c r="K691" i="1"/>
  <c r="H691" i="1"/>
  <c r="M690" i="1"/>
  <c r="J690" i="1"/>
  <c r="H690" i="1"/>
  <c r="L690" i="1" s="1"/>
  <c r="H689" i="1"/>
  <c r="K687" i="1"/>
  <c r="K686" i="1"/>
  <c r="L684" i="1"/>
  <c r="K684" i="1"/>
  <c r="H684" i="1"/>
  <c r="M684" i="1" s="1"/>
  <c r="H683" i="1"/>
  <c r="I683" i="1" s="1"/>
  <c r="H682" i="1"/>
  <c r="L681" i="1"/>
  <c r="I681" i="1"/>
  <c r="H681" i="1"/>
  <c r="K681" i="1" s="1"/>
  <c r="K680" i="1"/>
  <c r="K679" i="1"/>
  <c r="J679" i="1"/>
  <c r="H679" i="1"/>
  <c r="L679" i="1" s="1"/>
  <c r="H678" i="1"/>
  <c r="H677" i="1"/>
  <c r="K675" i="1"/>
  <c r="K674" i="1"/>
  <c r="H674" i="1"/>
  <c r="H673" i="1"/>
  <c r="H670" i="1"/>
  <c r="H669" i="1"/>
  <c r="H660" i="1"/>
  <c r="H659" i="1"/>
  <c r="H654" i="1"/>
  <c r="K654" i="1" s="1"/>
  <c r="K649" i="1"/>
  <c r="J648" i="1"/>
  <c r="I648" i="1"/>
  <c r="H648" i="1"/>
  <c r="K646" i="1"/>
  <c r="J646" i="1"/>
  <c r="H646" i="1"/>
  <c r="I646" i="1" s="1"/>
  <c r="H644" i="1"/>
  <c r="M641" i="1"/>
  <c r="K641" i="1"/>
  <c r="J641" i="1"/>
  <c r="I641" i="1"/>
  <c r="H641" i="1"/>
  <c r="K640" i="1"/>
  <c r="H640" i="1"/>
  <c r="J640" i="1" s="1"/>
  <c r="H639" i="1"/>
  <c r="K638" i="1"/>
  <c r="J638" i="1"/>
  <c r="H638" i="1"/>
  <c r="I638" i="1" s="1"/>
  <c r="H636" i="1"/>
  <c r="K636" i="1" s="1"/>
  <c r="H635" i="1"/>
  <c r="K634" i="1"/>
  <c r="J634" i="1"/>
  <c r="H634" i="1"/>
  <c r="I634" i="1" s="1"/>
  <c r="L633" i="1"/>
  <c r="J633" i="1"/>
  <c r="I633" i="1"/>
  <c r="H633" i="1"/>
  <c r="K633" i="1" s="1"/>
  <c r="I632" i="1"/>
  <c r="H632" i="1"/>
  <c r="K630" i="1"/>
  <c r="J630" i="1"/>
  <c r="H630" i="1"/>
  <c r="K627" i="1"/>
  <c r="J627" i="1"/>
  <c r="H627" i="1"/>
  <c r="I627" i="1" s="1"/>
  <c r="H626" i="1"/>
  <c r="J626" i="1" s="1"/>
  <c r="I625" i="1"/>
  <c r="H625" i="1"/>
  <c r="H624" i="1"/>
  <c r="M621" i="1"/>
  <c r="H621" i="1"/>
  <c r="K621" i="1" s="1"/>
  <c r="H620" i="1"/>
  <c r="M620" i="1" s="1"/>
  <c r="H617" i="1"/>
  <c r="H616" i="1"/>
  <c r="I616" i="1" s="1"/>
  <c r="H615" i="1"/>
  <c r="M613" i="1"/>
  <c r="H613" i="1"/>
  <c r="J613" i="1" s="1"/>
  <c r="M612" i="1"/>
  <c r="H612" i="1"/>
  <c r="H611" i="1"/>
  <c r="I611" i="1" s="1"/>
  <c r="H610" i="1"/>
  <c r="M609" i="1"/>
  <c r="K609" i="1"/>
  <c r="J609" i="1"/>
  <c r="H609" i="1"/>
  <c r="L609" i="1" s="1"/>
  <c r="H608" i="1"/>
  <c r="J608" i="1" s="1"/>
  <c r="K607" i="1"/>
  <c r="J607" i="1"/>
  <c r="H607" i="1"/>
  <c r="H606" i="1"/>
  <c r="H605" i="1"/>
  <c r="K605" i="1" s="1"/>
  <c r="H604" i="1"/>
  <c r="M604" i="1" s="1"/>
  <c r="H601" i="1"/>
  <c r="H600" i="1"/>
  <c r="L599" i="1"/>
  <c r="K599" i="1"/>
  <c r="J599" i="1"/>
  <c r="I599" i="1"/>
  <c r="H599" i="1"/>
  <c r="H598" i="1"/>
  <c r="H596" i="1"/>
  <c r="K594" i="1"/>
  <c r="J594" i="1"/>
  <c r="H594" i="1"/>
  <c r="M594" i="1" s="1"/>
  <c r="H593" i="1"/>
  <c r="H592" i="1"/>
  <c r="H591" i="1"/>
  <c r="I591" i="1" s="1"/>
  <c r="H589" i="1"/>
  <c r="K589" i="1" s="1"/>
  <c r="L588" i="1"/>
  <c r="H588" i="1"/>
  <c r="L586" i="1"/>
  <c r="J586" i="1"/>
  <c r="I586" i="1"/>
  <c r="H586" i="1"/>
  <c r="K586" i="1" s="1"/>
  <c r="H585" i="1"/>
  <c r="J585" i="1" s="1"/>
  <c r="H580" i="1"/>
  <c r="H576" i="1"/>
  <c r="H575" i="1"/>
  <c r="I575" i="1" s="1"/>
  <c r="H574" i="1"/>
  <c r="K574" i="1" s="1"/>
  <c r="M573" i="1"/>
  <c r="K573" i="1"/>
  <c r="H573" i="1"/>
  <c r="J573" i="1" s="1"/>
  <c r="H572" i="1"/>
  <c r="H570" i="1"/>
  <c r="J570" i="1" s="1"/>
  <c r="L569" i="1"/>
  <c r="J569" i="1"/>
  <c r="H569" i="1"/>
  <c r="H567" i="1"/>
  <c r="H565" i="1"/>
  <c r="H564" i="1"/>
  <c r="H563" i="1"/>
  <c r="K563" i="1" s="1"/>
  <c r="J561" i="1"/>
  <c r="I561" i="1"/>
  <c r="H560" i="1"/>
  <c r="J560" i="1" s="1"/>
  <c r="J559" i="1"/>
  <c r="I559" i="1"/>
  <c r="J555" i="1"/>
  <c r="I555" i="1"/>
  <c r="I554" i="1"/>
  <c r="H554" i="1"/>
  <c r="J539" i="1"/>
  <c r="I539" i="1"/>
  <c r="H538" i="1"/>
  <c r="K538" i="1" s="1"/>
  <c r="K535" i="1"/>
  <c r="I535" i="1"/>
  <c r="H535" i="1"/>
  <c r="H533" i="1"/>
  <c r="J533" i="1" s="1"/>
  <c r="I529" i="1"/>
  <c r="H529" i="1"/>
  <c r="K529" i="1" s="1"/>
  <c r="H522" i="1"/>
  <c r="I522" i="1" s="1"/>
  <c r="H521" i="1"/>
  <c r="H514" i="1"/>
  <c r="K514" i="1" s="1"/>
  <c r="I510" i="1"/>
  <c r="H502" i="1"/>
  <c r="J499" i="1"/>
  <c r="H499" i="1"/>
  <c r="K495" i="1"/>
  <c r="H495" i="1"/>
  <c r="I495" i="1" s="1"/>
  <c r="H494" i="1"/>
  <c r="M493" i="1"/>
  <c r="H493" i="1"/>
  <c r="J493" i="1" s="1"/>
  <c r="H485" i="1"/>
  <c r="K485" i="1" s="1"/>
  <c r="H484" i="1"/>
  <c r="M484" i="1" s="1"/>
  <c r="J483" i="1"/>
  <c r="H467" i="1"/>
  <c r="H461" i="1"/>
  <c r="L456" i="1"/>
  <c r="H456" i="1"/>
  <c r="H455" i="1"/>
  <c r="H454" i="1"/>
  <c r="J453" i="1"/>
  <c r="H453" i="1"/>
  <c r="K453" i="1" s="1"/>
  <c r="H452" i="1"/>
  <c r="J452" i="1" s="1"/>
  <c r="M451" i="1"/>
  <c r="L451" i="1"/>
  <c r="H451" i="1"/>
  <c r="K451" i="1" s="1"/>
  <c r="H450" i="1"/>
  <c r="K446" i="1"/>
  <c r="J446" i="1"/>
  <c r="H446" i="1"/>
  <c r="I446" i="1" s="1"/>
  <c r="H445" i="1"/>
  <c r="H444" i="1"/>
  <c r="M444" i="1" s="1"/>
  <c r="M443" i="1"/>
  <c r="L443" i="1"/>
  <c r="K443" i="1"/>
  <c r="H443" i="1"/>
  <c r="J443" i="1" s="1"/>
  <c r="H442" i="1"/>
  <c r="H440" i="1"/>
  <c r="J438" i="1"/>
  <c r="I438" i="1"/>
  <c r="J436" i="1"/>
  <c r="H436" i="1"/>
  <c r="K436" i="1" s="1"/>
  <c r="H435" i="1"/>
  <c r="I435" i="1" s="1"/>
  <c r="H433" i="1"/>
  <c r="H426" i="1"/>
  <c r="L425" i="1"/>
  <c r="J425" i="1"/>
  <c r="I425" i="1"/>
  <c r="H425" i="1"/>
  <c r="K425" i="1" s="1"/>
  <c r="M423" i="1"/>
  <c r="H423" i="1"/>
  <c r="L423" i="1" s="1"/>
  <c r="J419" i="1"/>
  <c r="I419" i="1"/>
  <c r="H419" i="1"/>
  <c r="K419" i="1" s="1"/>
  <c r="H418" i="1"/>
  <c r="H415" i="1"/>
  <c r="J415" i="1" s="1"/>
  <c r="K414" i="1"/>
  <c r="J414" i="1"/>
  <c r="K413" i="1"/>
  <c r="H411" i="1"/>
  <c r="I411" i="1" s="1"/>
  <c r="H410" i="1"/>
  <c r="M409" i="1"/>
  <c r="K409" i="1"/>
  <c r="J409" i="1"/>
  <c r="H409" i="1"/>
  <c r="H408" i="1"/>
  <c r="H407" i="1"/>
  <c r="M407" i="1" s="1"/>
  <c r="M406" i="1"/>
  <c r="K406" i="1"/>
  <c r="H405" i="1"/>
  <c r="L404" i="1"/>
  <c r="H404" i="1"/>
  <c r="H402" i="1"/>
  <c r="M401" i="1"/>
  <c r="L401" i="1"/>
  <c r="K401" i="1"/>
  <c r="H401" i="1"/>
  <c r="J401" i="1" s="1"/>
  <c r="H397" i="1"/>
  <c r="H395" i="1"/>
  <c r="M391" i="1"/>
  <c r="H391" i="1"/>
  <c r="M390" i="1"/>
  <c r="H390" i="1"/>
  <c r="J390" i="1" s="1"/>
  <c r="I389" i="1"/>
  <c r="H389" i="1"/>
  <c r="J389" i="1" s="1"/>
  <c r="J388" i="1"/>
  <c r="H388" i="1"/>
  <c r="M388" i="1" s="1"/>
  <c r="H387" i="1"/>
  <c r="I387" i="1" s="1"/>
  <c r="H386" i="1"/>
  <c r="I386" i="1" s="1"/>
  <c r="M384" i="1"/>
  <c r="J384" i="1"/>
  <c r="I384" i="1"/>
  <c r="H384" i="1"/>
  <c r="K384" i="1" s="1"/>
  <c r="L381" i="1"/>
  <c r="I381" i="1"/>
  <c r="H381" i="1"/>
  <c r="K381" i="1" s="1"/>
  <c r="H379" i="1"/>
  <c r="H377" i="1"/>
  <c r="K371" i="1"/>
  <c r="I371" i="1"/>
  <c r="H371" i="1"/>
  <c r="J371" i="1" s="1"/>
  <c r="M366" i="1"/>
  <c r="L366" i="1"/>
  <c r="K366" i="1"/>
  <c r="J366" i="1"/>
  <c r="I366" i="1"/>
  <c r="H366" i="1"/>
  <c r="H365" i="1"/>
  <c r="H363" i="1"/>
  <c r="M363" i="1" s="1"/>
  <c r="M362" i="1"/>
  <c r="H362" i="1"/>
  <c r="L362" i="1" s="1"/>
  <c r="H359" i="1"/>
  <c r="I359" i="1" s="1"/>
  <c r="H358" i="1"/>
  <c r="J351" i="1"/>
  <c r="H351" i="1"/>
  <c r="I351" i="1" s="1"/>
  <c r="H350" i="1"/>
  <c r="H349" i="1"/>
  <c r="H348" i="1"/>
  <c r="H347" i="1"/>
  <c r="J344" i="1"/>
  <c r="I344" i="1"/>
  <c r="H338" i="1"/>
  <c r="I338" i="1" s="1"/>
  <c r="H337" i="1"/>
  <c r="M336" i="1"/>
  <c r="K336" i="1"/>
  <c r="J336" i="1"/>
  <c r="H336" i="1"/>
  <c r="I336" i="1" s="1"/>
  <c r="I334" i="1"/>
  <c r="H334" i="1"/>
  <c r="H331" i="1"/>
  <c r="I331" i="1" s="1"/>
  <c r="H330" i="1"/>
  <c r="M327" i="1"/>
  <c r="J327" i="1"/>
  <c r="H327" i="1"/>
  <c r="L327" i="1" s="1"/>
  <c r="H325" i="1"/>
  <c r="K322" i="1"/>
  <c r="H322" i="1"/>
  <c r="J322" i="1" s="1"/>
  <c r="J321" i="1"/>
  <c r="H321" i="1"/>
  <c r="H320" i="1"/>
  <c r="H319" i="1"/>
  <c r="H318" i="1"/>
  <c r="L318" i="1" s="1"/>
  <c r="M315" i="1"/>
  <c r="L315" i="1"/>
  <c r="J315" i="1"/>
  <c r="H315" i="1"/>
  <c r="H312" i="1"/>
  <c r="J312" i="1" s="1"/>
  <c r="H311" i="1"/>
  <c r="J311" i="1" s="1"/>
  <c r="M309" i="1"/>
  <c r="L309" i="1"/>
  <c r="K309" i="1"/>
  <c r="H309" i="1"/>
  <c r="I309" i="1" s="1"/>
  <c r="H308" i="1"/>
  <c r="H307" i="1"/>
  <c r="H306" i="1"/>
  <c r="H305" i="1"/>
  <c r="H300" i="1"/>
  <c r="H298" i="1"/>
  <c r="K298" i="1" s="1"/>
  <c r="H297" i="1"/>
  <c r="L297" i="1" s="1"/>
  <c r="L295" i="1"/>
  <c r="K295" i="1"/>
  <c r="H295" i="1"/>
  <c r="H294" i="1"/>
  <c r="M293" i="1"/>
  <c r="L293" i="1"/>
  <c r="J293" i="1"/>
  <c r="H293" i="1"/>
  <c r="I287" i="1"/>
  <c r="H287" i="1"/>
  <c r="K287" i="1" s="1"/>
  <c r="H286" i="1"/>
  <c r="J286" i="1" s="1"/>
  <c r="H285" i="1"/>
  <c r="M284" i="1"/>
  <c r="K284" i="1"/>
  <c r="J284" i="1"/>
  <c r="H284" i="1"/>
  <c r="H283" i="1"/>
  <c r="J283" i="1" s="1"/>
  <c r="H282" i="1"/>
  <c r="J282" i="1" s="1"/>
  <c r="H281" i="1"/>
  <c r="J281" i="1" s="1"/>
  <c r="K278" i="1"/>
  <c r="H278" i="1"/>
  <c r="H276" i="1"/>
  <c r="H275" i="1"/>
  <c r="I275" i="1" s="1"/>
  <c r="M274" i="1"/>
  <c r="H274" i="1"/>
  <c r="M273" i="1"/>
  <c r="K273" i="1"/>
  <c r="M272" i="1"/>
  <c r="K272" i="1"/>
  <c r="J272" i="1"/>
  <c r="I272" i="1"/>
  <c r="H272" i="1"/>
  <c r="M271" i="1"/>
  <c r="J271" i="1"/>
  <c r="H271" i="1"/>
  <c r="L271" i="1" s="1"/>
  <c r="J269" i="1"/>
  <c r="H269" i="1"/>
  <c r="H268" i="1"/>
  <c r="H267" i="1"/>
  <c r="H266" i="1"/>
  <c r="H264" i="1"/>
  <c r="H262" i="1"/>
  <c r="J260" i="1"/>
  <c r="H260" i="1"/>
  <c r="I260" i="1" s="1"/>
  <c r="J259" i="1"/>
  <c r="H259" i="1"/>
  <c r="I259" i="1" s="1"/>
  <c r="H257" i="1"/>
  <c r="M253" i="1"/>
  <c r="L253" i="1"/>
  <c r="I253" i="1"/>
  <c r="H253" i="1"/>
  <c r="K253" i="1" s="1"/>
  <c r="H251" i="1"/>
  <c r="I251" i="1" s="1"/>
  <c r="M250" i="1"/>
  <c r="L250" i="1"/>
  <c r="I250" i="1"/>
  <c r="H250" i="1"/>
  <c r="K250" i="1" s="1"/>
  <c r="H248" i="1"/>
  <c r="I248" i="1" s="1"/>
  <c r="K238" i="1"/>
  <c r="J238" i="1"/>
  <c r="H238" i="1"/>
  <c r="I238" i="1" s="1"/>
  <c r="H236" i="1"/>
  <c r="J236" i="1" s="1"/>
  <c r="H234" i="1"/>
  <c r="I234" i="1" s="1"/>
  <c r="H230" i="1"/>
  <c r="H229" i="1"/>
  <c r="M229" i="1" s="1"/>
  <c r="L227" i="1"/>
  <c r="J227" i="1"/>
  <c r="H227" i="1"/>
  <c r="J220" i="1"/>
  <c r="I220" i="1"/>
  <c r="I217" i="1"/>
  <c r="H217" i="1"/>
  <c r="J217" i="1" s="1"/>
  <c r="L207" i="1"/>
  <c r="K207" i="1"/>
  <c r="H207" i="1"/>
  <c r="J207" i="1" s="1"/>
  <c r="H206" i="1"/>
  <c r="H205" i="1"/>
  <c r="I205" i="1" s="1"/>
  <c r="L202" i="1"/>
  <c r="H202" i="1"/>
  <c r="H201" i="1"/>
  <c r="H200" i="1"/>
  <c r="J200" i="1" s="1"/>
  <c r="I199" i="1"/>
  <c r="H199" i="1"/>
  <c r="J199" i="1" s="1"/>
  <c r="H198" i="1"/>
  <c r="K198" i="1" s="1"/>
  <c r="L197" i="1"/>
  <c r="H197" i="1"/>
  <c r="H196" i="1"/>
  <c r="M194" i="1"/>
  <c r="H194" i="1"/>
  <c r="H192" i="1"/>
  <c r="M184" i="1"/>
  <c r="L184" i="1"/>
  <c r="K184" i="1"/>
  <c r="J184" i="1"/>
  <c r="H184" i="1"/>
  <c r="H180" i="1"/>
  <c r="K179" i="1"/>
  <c r="H179" i="1"/>
  <c r="I179" i="1" s="1"/>
  <c r="K178" i="1"/>
  <c r="J178" i="1"/>
  <c r="H178" i="1"/>
  <c r="K177" i="1"/>
  <c r="H177" i="1"/>
  <c r="H172" i="1"/>
  <c r="M164" i="1"/>
  <c r="L164" i="1"/>
  <c r="K164" i="1"/>
  <c r="J164" i="1"/>
  <c r="H164" i="1"/>
  <c r="H161" i="1"/>
  <c r="I161" i="1" s="1"/>
  <c r="H160" i="1"/>
  <c r="K159" i="1"/>
  <c r="H159" i="1"/>
  <c r="I159" i="1" s="1"/>
  <c r="K158" i="1"/>
  <c r="H158" i="1"/>
  <c r="I158" i="1" s="1"/>
  <c r="L156" i="1"/>
  <c r="J156" i="1"/>
  <c r="I156" i="1"/>
  <c r="H156" i="1"/>
  <c r="K156" i="1" s="1"/>
  <c r="H154" i="1"/>
  <c r="I153" i="1"/>
  <c r="H153" i="1"/>
  <c r="K153" i="1" s="1"/>
  <c r="K152" i="1"/>
  <c r="J152" i="1"/>
  <c r="H152" i="1"/>
  <c r="H95" i="1"/>
  <c r="H87" i="1"/>
  <c r="H36" i="1"/>
  <c r="L36" i="1" s="1"/>
  <c r="K16" i="1"/>
  <c r="H16" i="1"/>
  <c r="H15" i="1"/>
  <c r="K13" i="1"/>
  <c r="J13" i="1"/>
  <c r="H13" i="1"/>
  <c r="H12" i="1"/>
  <c r="M12" i="1" s="1"/>
  <c r="H11" i="1"/>
  <c r="K10" i="1"/>
  <c r="H10" i="1"/>
  <c r="K9" i="1"/>
  <c r="J9" i="1"/>
  <c r="H9" i="1"/>
  <c r="I9" i="1" s="1"/>
  <c r="L308" i="1" l="1"/>
  <c r="M308" i="1"/>
  <c r="K308" i="1"/>
  <c r="L10" i="1"/>
  <c r="J10" i="1"/>
  <c r="M197" i="1"/>
  <c r="J197" i="1"/>
  <c r="L450" i="1"/>
  <c r="K450" i="1"/>
  <c r="I10" i="1"/>
  <c r="J16" i="1"/>
  <c r="I16" i="1"/>
  <c r="L16" i="1"/>
  <c r="K197" i="1"/>
  <c r="L229" i="1"/>
  <c r="J450" i="1"/>
  <c r="J484" i="1"/>
  <c r="L337" i="1"/>
  <c r="I337" i="1"/>
  <c r="M794" i="1"/>
  <c r="L794" i="1"/>
  <c r="J308" i="1"/>
  <c r="J36" i="1"/>
  <c r="J298" i="1"/>
  <c r="J206" i="1"/>
  <c r="L206" i="1"/>
  <c r="I236" i="1"/>
  <c r="M266" i="1"/>
  <c r="L266" i="1"/>
  <c r="J266" i="1"/>
  <c r="L274" i="1"/>
  <c r="I274" i="1"/>
  <c r="M402" i="1"/>
  <c r="L402" i="1"/>
  <c r="K402" i="1"/>
  <c r="J402" i="1"/>
  <c r="M442" i="1"/>
  <c r="L442" i="1"/>
  <c r="M461" i="1"/>
  <c r="L461" i="1"/>
  <c r="K461" i="1"/>
  <c r="J461" i="1"/>
  <c r="I494" i="1"/>
  <c r="K494" i="1"/>
  <c r="J494" i="1"/>
  <c r="K606" i="1"/>
  <c r="M606" i="1"/>
  <c r="J606" i="1"/>
  <c r="I606" i="1"/>
  <c r="J635" i="1"/>
  <c r="I635" i="1"/>
  <c r="L230" i="1"/>
  <c r="J230" i="1"/>
  <c r="M410" i="1"/>
  <c r="K410" i="1"/>
  <c r="J410" i="1"/>
  <c r="I410" i="1"/>
  <c r="M285" i="1"/>
  <c r="J285" i="1"/>
  <c r="K285" i="1"/>
  <c r="I285" i="1"/>
  <c r="J407" i="1"/>
  <c r="K407" i="1"/>
  <c r="I160" i="1"/>
  <c r="J160" i="1"/>
  <c r="K236" i="1"/>
  <c r="K266" i="1"/>
  <c r="J274" i="1"/>
  <c r="K286" i="1"/>
  <c r="M294" i="1"/>
  <c r="K294" i="1"/>
  <c r="L294" i="1"/>
  <c r="J294" i="1"/>
  <c r="M404" i="1"/>
  <c r="J404" i="1"/>
  <c r="K408" i="1"/>
  <c r="M408" i="1"/>
  <c r="J408" i="1"/>
  <c r="J435" i="1"/>
  <c r="K442" i="1"/>
  <c r="I538" i="1"/>
  <c r="M36" i="1"/>
  <c r="K36" i="1"/>
  <c r="J198" i="1"/>
  <c r="I198" i="1"/>
  <c r="L198" i="1"/>
  <c r="M298" i="1"/>
  <c r="L298" i="1"/>
  <c r="I298" i="1"/>
  <c r="K753" i="1"/>
  <c r="J753" i="1"/>
  <c r="I753" i="1"/>
  <c r="K160" i="1"/>
  <c r="J177" i="1"/>
  <c r="I177" i="1"/>
  <c r="K199" i="1"/>
  <c r="K274" i="1"/>
  <c r="L286" i="1"/>
  <c r="M295" i="1"/>
  <c r="J295" i="1"/>
  <c r="M395" i="1"/>
  <c r="J395" i="1"/>
  <c r="K404" i="1"/>
  <c r="K435" i="1"/>
  <c r="L845" i="1"/>
  <c r="K493" i="1"/>
  <c r="L573" i="1"/>
  <c r="L640" i="1"/>
  <c r="J684" i="1"/>
  <c r="I690" i="1"/>
  <c r="L795" i="1"/>
  <c r="K817" i="1"/>
  <c r="I824" i="1"/>
  <c r="I836" i="1"/>
  <c r="K824" i="1"/>
  <c r="L384" i="1"/>
  <c r="I574" i="1"/>
  <c r="M589" i="1"/>
  <c r="I715" i="1"/>
  <c r="J771" i="1"/>
  <c r="I776" i="1"/>
  <c r="J785" i="1"/>
  <c r="J792" i="1"/>
  <c r="L796" i="1"/>
  <c r="J807" i="1"/>
  <c r="J820" i="1"/>
  <c r="K848" i="1"/>
  <c r="L785" i="1"/>
  <c r="K807" i="1"/>
  <c r="K820" i="1"/>
  <c r="J250" i="1"/>
  <c r="K271" i="1"/>
  <c r="M283" i="1"/>
  <c r="K297" i="1"/>
  <c r="K327" i="1"/>
  <c r="J381" i="1"/>
  <c r="K389" i="1"/>
  <c r="I415" i="1"/>
  <c r="I423" i="1"/>
  <c r="I485" i="1"/>
  <c r="K533" i="1"/>
  <c r="I560" i="1"/>
  <c r="I573" i="1"/>
  <c r="K620" i="1"/>
  <c r="L636" i="1"/>
  <c r="I640" i="1"/>
  <c r="J683" i="1"/>
  <c r="I765" i="1"/>
  <c r="L771" i="1"/>
  <c r="M785" i="1"/>
  <c r="I795" i="1"/>
  <c r="L820" i="1"/>
  <c r="L848" i="1"/>
  <c r="K771" i="1"/>
  <c r="J153" i="1"/>
  <c r="J253" i="1"/>
  <c r="J158" i="1"/>
  <c r="J495" i="1"/>
  <c r="K613" i="1"/>
  <c r="M636" i="1"/>
  <c r="K683" i="1"/>
  <c r="J793" i="1"/>
  <c r="I87" i="1"/>
  <c r="J87" i="1"/>
  <c r="I95" i="1"/>
  <c r="J95" i="1"/>
  <c r="J161" i="1"/>
  <c r="I36" i="1"/>
  <c r="I152" i="1"/>
  <c r="J159" i="1"/>
  <c r="I164" i="1"/>
  <c r="M199" i="1"/>
  <c r="L199" i="1"/>
  <c r="L205" i="1"/>
  <c r="K205" i="1"/>
  <c r="J205" i="1"/>
  <c r="M205" i="1"/>
  <c r="M236" i="1"/>
  <c r="L236" i="1"/>
  <c r="K315" i="1"/>
  <c r="I297" i="1"/>
  <c r="M297" i="1"/>
  <c r="K312" i="1"/>
  <c r="M200" i="1"/>
  <c r="L200" i="1"/>
  <c r="K200" i="1"/>
  <c r="L234" i="1"/>
  <c r="K234" i="1"/>
  <c r="J234" i="1"/>
  <c r="M234" i="1"/>
  <c r="M248" i="1"/>
  <c r="K248" i="1"/>
  <c r="J248" i="1"/>
  <c r="L251" i="1"/>
  <c r="K251" i="1"/>
  <c r="J297" i="1"/>
  <c r="M311" i="1"/>
  <c r="L311" i="1"/>
  <c r="K311" i="1"/>
  <c r="I312" i="1"/>
  <c r="M267" i="1"/>
  <c r="M275" i="1"/>
  <c r="K275" i="1"/>
  <c r="M305" i="1"/>
  <c r="L305" i="1"/>
  <c r="K305" i="1"/>
  <c r="M306" i="1"/>
  <c r="L306" i="1"/>
  <c r="K306" i="1"/>
  <c r="M307" i="1"/>
  <c r="I358" i="1"/>
  <c r="J358" i="1"/>
  <c r="J267" i="1"/>
  <c r="M268" i="1"/>
  <c r="L268" i="1"/>
  <c r="I305" i="1"/>
  <c r="I306" i="1"/>
  <c r="J307" i="1"/>
  <c r="L319" i="1"/>
  <c r="M319" i="1"/>
  <c r="J320" i="1"/>
  <c r="M320" i="1"/>
  <c r="K172" i="1"/>
  <c r="J172" i="1"/>
  <c r="K196" i="1"/>
  <c r="J196" i="1"/>
  <c r="I196" i="1"/>
  <c r="L196" i="1"/>
  <c r="K87" i="1"/>
  <c r="K192" i="1"/>
  <c r="J192" i="1"/>
  <c r="I192" i="1"/>
  <c r="L192" i="1"/>
  <c r="M196" i="1"/>
  <c r="J251" i="1"/>
  <c r="M10" i="1"/>
  <c r="L11" i="1"/>
  <c r="J12" i="1"/>
  <c r="M16" i="1"/>
  <c r="L87" i="1"/>
  <c r="K95" i="1"/>
  <c r="J154" i="1"/>
  <c r="K161" i="1"/>
  <c r="L172" i="1"/>
  <c r="M192" i="1"/>
  <c r="J262" i="1"/>
  <c r="K267" i="1"/>
  <c r="J268" i="1"/>
  <c r="M269" i="1"/>
  <c r="L269" i="1"/>
  <c r="K269" i="1"/>
  <c r="J275" i="1"/>
  <c r="I276" i="1"/>
  <c r="J305" i="1"/>
  <c r="J306" i="1"/>
  <c r="K307" i="1"/>
  <c r="I319" i="1"/>
  <c r="I320" i="1"/>
  <c r="J331" i="1"/>
  <c r="K377" i="1"/>
  <c r="J377" i="1"/>
  <c r="K201" i="1"/>
  <c r="J201" i="1"/>
  <c r="I201" i="1"/>
  <c r="L201" i="1"/>
  <c r="K11" i="1"/>
  <c r="I154" i="1"/>
  <c r="I172" i="1"/>
  <c r="I262" i="1"/>
  <c r="K12" i="1"/>
  <c r="M87" i="1"/>
  <c r="L95" i="1"/>
  <c r="K154" i="1"/>
  <c r="M172" i="1"/>
  <c r="L267" i="1"/>
  <c r="K268" i="1"/>
  <c r="I300" i="1"/>
  <c r="M300" i="1"/>
  <c r="L300" i="1"/>
  <c r="K300" i="1"/>
  <c r="J319" i="1"/>
  <c r="K320" i="1"/>
  <c r="I377" i="1"/>
  <c r="I11" i="1"/>
  <c r="I12" i="1"/>
  <c r="M201" i="1"/>
  <c r="K276" i="1"/>
  <c r="J276" i="1"/>
  <c r="M95" i="1"/>
  <c r="M217" i="1"/>
  <c r="L217" i="1"/>
  <c r="K217" i="1"/>
  <c r="J300" i="1"/>
  <c r="K319" i="1"/>
  <c r="L320" i="1"/>
  <c r="L338" i="1"/>
  <c r="K338" i="1"/>
  <c r="K365" i="1"/>
  <c r="J365" i="1"/>
  <c r="I365" i="1"/>
  <c r="J179" i="1"/>
  <c r="K206" i="1"/>
  <c r="K229" i="1"/>
  <c r="K281" i="1"/>
  <c r="K282" i="1"/>
  <c r="K283" i="1"/>
  <c r="I293" i="1"/>
  <c r="J337" i="1"/>
  <c r="K337" i="1"/>
  <c r="M397" i="1"/>
  <c r="K397" i="1"/>
  <c r="J397" i="1"/>
  <c r="I397" i="1"/>
  <c r="L397" i="1"/>
  <c r="M435" i="1"/>
  <c r="K444" i="1"/>
  <c r="J444" i="1"/>
  <c r="L444" i="1"/>
  <c r="K405" i="1"/>
  <c r="J405" i="1"/>
  <c r="I405" i="1"/>
  <c r="M576" i="1"/>
  <c r="L576" i="1"/>
  <c r="K576" i="1"/>
  <c r="I576" i="1"/>
  <c r="J576" i="1"/>
  <c r="M445" i="1"/>
  <c r="J379" i="1"/>
  <c r="M379" i="1"/>
  <c r="K379" i="1"/>
  <c r="I379" i="1"/>
  <c r="L388" i="1"/>
  <c r="K395" i="1"/>
  <c r="M411" i="1"/>
  <c r="L411" i="1"/>
  <c r="K411" i="1"/>
  <c r="J445" i="1"/>
  <c r="J521" i="1"/>
  <c r="K521" i="1"/>
  <c r="I206" i="1"/>
  <c r="I229" i="1"/>
  <c r="I257" i="1"/>
  <c r="I264" i="1"/>
  <c r="I281" i="1"/>
  <c r="I282" i="1"/>
  <c r="I283" i="1"/>
  <c r="K445" i="1"/>
  <c r="I521" i="1"/>
  <c r="I197" i="1"/>
  <c r="J202" i="1"/>
  <c r="J229" i="1"/>
  <c r="J257" i="1"/>
  <c r="J264" i="1"/>
  <c r="I284" i="1"/>
  <c r="I295" i="1"/>
  <c r="J309" i="1"/>
  <c r="J318" i="1"/>
  <c r="I322" i="1"/>
  <c r="J334" i="1"/>
  <c r="J359" i="1"/>
  <c r="M386" i="1"/>
  <c r="L386" i="1"/>
  <c r="K386" i="1"/>
  <c r="J386" i="1"/>
  <c r="K387" i="1"/>
  <c r="J387" i="1"/>
  <c r="K388" i="1"/>
  <c r="L395" i="1"/>
  <c r="J411" i="1"/>
  <c r="L433" i="1"/>
  <c r="J433" i="1"/>
  <c r="L445" i="1"/>
  <c r="M567" i="1"/>
  <c r="L567" i="1"/>
  <c r="K567" i="1"/>
  <c r="I567" i="1"/>
  <c r="J567" i="1"/>
  <c r="K362" i="1"/>
  <c r="L363" i="1"/>
  <c r="K390" i="1"/>
  <c r="L391" i="1"/>
  <c r="M419" i="1"/>
  <c r="M452" i="1"/>
  <c r="L452" i="1"/>
  <c r="K452" i="1"/>
  <c r="K591" i="1"/>
  <c r="J591" i="1"/>
  <c r="K608" i="1"/>
  <c r="I608" i="1"/>
  <c r="M592" i="1"/>
  <c r="L592" i="1"/>
  <c r="K592" i="1"/>
  <c r="J592" i="1"/>
  <c r="I592" i="1"/>
  <c r="M564" i="1"/>
  <c r="L564" i="1"/>
  <c r="K564" i="1"/>
  <c r="I564" i="1"/>
  <c r="J564" i="1"/>
  <c r="M596" i="1"/>
  <c r="K596" i="1"/>
  <c r="J596" i="1"/>
  <c r="I596" i="1"/>
  <c r="J363" i="1"/>
  <c r="I391" i="1"/>
  <c r="L440" i="1"/>
  <c r="J440" i="1"/>
  <c r="K455" i="1"/>
  <c r="J455" i="1"/>
  <c r="I363" i="1"/>
  <c r="J391" i="1"/>
  <c r="L455" i="1"/>
  <c r="L563" i="1"/>
  <c r="M563" i="1"/>
  <c r="K593" i="1"/>
  <c r="J593" i="1"/>
  <c r="M593" i="1"/>
  <c r="I593" i="1"/>
  <c r="J362" i="1"/>
  <c r="K363" i="1"/>
  <c r="M381" i="1"/>
  <c r="I390" i="1"/>
  <c r="K391" i="1"/>
  <c r="K423" i="1"/>
  <c r="J423" i="1"/>
  <c r="M450" i="1"/>
  <c r="M455" i="1"/>
  <c r="J522" i="1"/>
  <c r="K522" i="1"/>
  <c r="J554" i="1"/>
  <c r="J563" i="1"/>
  <c r="L593" i="1"/>
  <c r="L610" i="1"/>
  <c r="K610" i="1"/>
  <c r="J610" i="1"/>
  <c r="I610" i="1"/>
  <c r="M453" i="1"/>
  <c r="L453" i="1"/>
  <c r="J529" i="1"/>
  <c r="J535" i="1"/>
  <c r="M570" i="1"/>
  <c r="L570" i="1"/>
  <c r="K570" i="1"/>
  <c r="I570" i="1"/>
  <c r="M574" i="1"/>
  <c r="L574" i="1"/>
  <c r="J574" i="1"/>
  <c r="K659" i="1"/>
  <c r="J659" i="1"/>
  <c r="I659" i="1"/>
  <c r="L454" i="1"/>
  <c r="K454" i="1"/>
  <c r="L467" i="1"/>
  <c r="K565" i="1"/>
  <c r="J565" i="1"/>
  <c r="I565" i="1"/>
  <c r="M601" i="1"/>
  <c r="K601" i="1"/>
  <c r="J601" i="1"/>
  <c r="K624" i="1"/>
  <c r="J624" i="1"/>
  <c r="I624" i="1"/>
  <c r="L624" i="1"/>
  <c r="J677" i="1"/>
  <c r="I677" i="1"/>
  <c r="K677" i="1"/>
  <c r="J454" i="1"/>
  <c r="J467" i="1"/>
  <c r="K484" i="1"/>
  <c r="J514" i="1"/>
  <c r="L565" i="1"/>
  <c r="M569" i="1"/>
  <c r="K569" i="1"/>
  <c r="I572" i="1"/>
  <c r="M598" i="1"/>
  <c r="K598" i="1"/>
  <c r="I598" i="1"/>
  <c r="I601" i="1"/>
  <c r="M725" i="1"/>
  <c r="L725" i="1"/>
  <c r="J725" i="1"/>
  <c r="I725" i="1"/>
  <c r="K725" i="1"/>
  <c r="I404" i="1"/>
  <c r="I408" i="1"/>
  <c r="M446" i="1"/>
  <c r="L446" i="1"/>
  <c r="J451" i="1"/>
  <c r="M454" i="1"/>
  <c r="I484" i="1"/>
  <c r="J485" i="1"/>
  <c r="M499" i="1"/>
  <c r="L499" i="1"/>
  <c r="K499" i="1"/>
  <c r="I499" i="1"/>
  <c r="K502" i="1"/>
  <c r="J502" i="1"/>
  <c r="I502" i="1"/>
  <c r="I514" i="1"/>
  <c r="J538" i="1"/>
  <c r="M565" i="1"/>
  <c r="I569" i="1"/>
  <c r="J572" i="1"/>
  <c r="J598" i="1"/>
  <c r="M600" i="1"/>
  <c r="K600" i="1"/>
  <c r="J600" i="1"/>
  <c r="I600" i="1"/>
  <c r="K612" i="1"/>
  <c r="J612" i="1"/>
  <c r="I612" i="1"/>
  <c r="K617" i="1"/>
  <c r="J617" i="1"/>
  <c r="I617" i="1"/>
  <c r="K585" i="1"/>
  <c r="J605" i="1"/>
  <c r="I605" i="1"/>
  <c r="L612" i="1"/>
  <c r="M617" i="1"/>
  <c r="M632" i="1"/>
  <c r="L670" i="1"/>
  <c r="K670" i="1"/>
  <c r="J670" i="1"/>
  <c r="I670" i="1"/>
  <c r="K719" i="1"/>
  <c r="M719" i="1"/>
  <c r="J719" i="1"/>
  <c r="I719" i="1"/>
  <c r="M615" i="1"/>
  <c r="K615" i="1"/>
  <c r="J575" i="1"/>
  <c r="L585" i="1"/>
  <c r="L605" i="1"/>
  <c r="I615" i="1"/>
  <c r="J632" i="1"/>
  <c r="J678" i="1"/>
  <c r="I678" i="1"/>
  <c r="M678" i="1"/>
  <c r="K678" i="1"/>
  <c r="L713" i="1"/>
  <c r="J713" i="1"/>
  <c r="I713" i="1"/>
  <c r="K726" i="1"/>
  <c r="J726" i="1"/>
  <c r="I726" i="1"/>
  <c r="I493" i="1"/>
  <c r="I533" i="1"/>
  <c r="M585" i="1"/>
  <c r="J589" i="1"/>
  <c r="K604" i="1"/>
  <c r="J604" i="1"/>
  <c r="M605" i="1"/>
  <c r="J615" i="1"/>
  <c r="K626" i="1"/>
  <c r="K632" i="1"/>
  <c r="J682" i="1"/>
  <c r="I682" i="1"/>
  <c r="L682" i="1"/>
  <c r="K682" i="1"/>
  <c r="K713" i="1"/>
  <c r="L726" i="1"/>
  <c r="J442" i="1"/>
  <c r="J456" i="1"/>
  <c r="J588" i="1"/>
  <c r="L589" i="1"/>
  <c r="I604" i="1"/>
  <c r="I607" i="1"/>
  <c r="I609" i="1"/>
  <c r="M611" i="1"/>
  <c r="K611" i="1"/>
  <c r="J611" i="1"/>
  <c r="M616" i="1"/>
  <c r="K616" i="1"/>
  <c r="J616" i="1"/>
  <c r="M625" i="1"/>
  <c r="K625" i="1"/>
  <c r="J625" i="1"/>
  <c r="I626" i="1"/>
  <c r="J669" i="1"/>
  <c r="I669" i="1"/>
  <c r="K673" i="1"/>
  <c r="J673" i="1"/>
  <c r="L673" i="1"/>
  <c r="L634" i="1"/>
  <c r="M640" i="1"/>
  <c r="J691" i="1"/>
  <c r="I691" i="1"/>
  <c r="J710" i="1"/>
  <c r="I710" i="1"/>
  <c r="L711" i="1"/>
  <c r="J711" i="1"/>
  <c r="I711" i="1"/>
  <c r="K721" i="1"/>
  <c r="M721" i="1"/>
  <c r="M633" i="1"/>
  <c r="L644" i="1"/>
  <c r="L689" i="1"/>
  <c r="J689" i="1"/>
  <c r="I689" i="1"/>
  <c r="I620" i="1"/>
  <c r="I621" i="1"/>
  <c r="M630" i="1"/>
  <c r="I636" i="1"/>
  <c r="J639" i="1"/>
  <c r="J644" i="1"/>
  <c r="I654" i="1"/>
  <c r="K689" i="1"/>
  <c r="J701" i="1"/>
  <c r="I701" i="1"/>
  <c r="I594" i="1"/>
  <c r="J620" i="1"/>
  <c r="J621" i="1"/>
  <c r="I630" i="1"/>
  <c r="K635" i="1"/>
  <c r="J636" i="1"/>
  <c r="K639" i="1"/>
  <c r="M648" i="1"/>
  <c r="K648" i="1"/>
  <c r="J654" i="1"/>
  <c r="J660" i="1"/>
  <c r="L696" i="1"/>
  <c r="J696" i="1"/>
  <c r="I696" i="1"/>
  <c r="K701" i="1"/>
  <c r="M797" i="1"/>
  <c r="K797" i="1"/>
  <c r="J797" i="1"/>
  <c r="I797" i="1"/>
  <c r="L797" i="1"/>
  <c r="K798" i="1"/>
  <c r="L798" i="1"/>
  <c r="J798" i="1"/>
  <c r="I798" i="1"/>
  <c r="M798" i="1"/>
  <c r="I799" i="1"/>
  <c r="L799" i="1"/>
  <c r="K799" i="1"/>
  <c r="J799" i="1"/>
  <c r="M799" i="1"/>
  <c r="J778" i="1"/>
  <c r="I778" i="1"/>
  <c r="J772" i="1"/>
  <c r="J674" i="1"/>
  <c r="I706" i="1"/>
  <c r="I712" i="1"/>
  <c r="I714" i="1"/>
  <c r="M715" i="1"/>
  <c r="K716" i="1"/>
  <c r="K755" i="1"/>
  <c r="J755" i="1"/>
  <c r="I755" i="1"/>
  <c r="L755" i="1"/>
  <c r="M769" i="1"/>
  <c r="L769" i="1"/>
  <c r="K769" i="1"/>
  <c r="L772" i="1"/>
  <c r="J803" i="1"/>
  <c r="L846" i="1"/>
  <c r="J846" i="1"/>
  <c r="L674" i="1"/>
  <c r="J681" i="1"/>
  <c r="K690" i="1"/>
  <c r="K706" i="1"/>
  <c r="K714" i="1"/>
  <c r="J715" i="1"/>
  <c r="J716" i="1"/>
  <c r="L816" i="1"/>
  <c r="K816" i="1"/>
  <c r="J816" i="1"/>
  <c r="M816" i="1"/>
  <c r="M674" i="1"/>
  <c r="I679" i="1"/>
  <c r="I684" i="1"/>
  <c r="L706" i="1"/>
  <c r="L714" i="1"/>
  <c r="K715" i="1"/>
  <c r="I742" i="1"/>
  <c r="K830" i="1"/>
  <c r="M792" i="1"/>
  <c r="K805" i="1"/>
  <c r="J805" i="1"/>
  <c r="I805" i="1"/>
  <c r="K822" i="1"/>
  <c r="J822" i="1"/>
  <c r="I822" i="1"/>
  <c r="L822" i="1"/>
  <c r="I786" i="1"/>
  <c r="J794" i="1"/>
  <c r="M804" i="1"/>
  <c r="L804" i="1"/>
  <c r="K804" i="1"/>
  <c r="M825" i="1"/>
  <c r="L825" i="1"/>
  <c r="I777" i="1"/>
  <c r="I785" i="1"/>
  <c r="J786" i="1"/>
  <c r="I794" i="1"/>
  <c r="J796" i="1"/>
  <c r="M802" i="1"/>
  <c r="J804" i="1"/>
  <c r="I825" i="1"/>
  <c r="J777" i="1"/>
  <c r="K794" i="1"/>
  <c r="K796" i="1"/>
  <c r="M807" i="1"/>
  <c r="J825" i="1"/>
  <c r="I817" i="1"/>
  <c r="I820" i="1"/>
  <c r="J835" i="1"/>
  <c r="I848" i="1"/>
</calcChain>
</file>

<file path=xl/sharedStrings.xml><?xml version="1.0" encoding="utf-8"?>
<sst xmlns="http://schemas.openxmlformats.org/spreadsheetml/2006/main" count="5503" uniqueCount="1640">
  <si>
    <t>Deposit</t>
  </si>
  <si>
    <t>Country</t>
  </si>
  <si>
    <t>Primary Deposit Type</t>
  </si>
  <si>
    <t>Secondary Deposit Type</t>
  </si>
  <si>
    <t>Company</t>
  </si>
  <si>
    <t>Source</t>
  </si>
  <si>
    <t>Mt ore</t>
  </si>
  <si>
    <t>%Pb</t>
  </si>
  <si>
    <t>%Zn</t>
  </si>
  <si>
    <t>g/t Ag</t>
  </si>
  <si>
    <t>%Cu</t>
  </si>
  <si>
    <t>g/t Au</t>
  </si>
  <si>
    <t>Ain Khala</t>
  </si>
  <si>
    <t>Algeria</t>
  </si>
  <si>
    <t>Sediment-hosted Pb-Zn</t>
  </si>
  <si>
    <t>MVT</t>
  </si>
  <si>
    <t>NC</t>
  </si>
  <si>
    <t>unknown</t>
  </si>
  <si>
    <t>USGS OFR 1297</t>
  </si>
  <si>
    <t>Boukdema-Kef Semmah</t>
  </si>
  <si>
    <t>Leach et al (2005)</t>
  </si>
  <si>
    <t>El Abed</t>
  </si>
  <si>
    <t>Kherzet Youcef</t>
  </si>
  <si>
    <t>Oued El Kebir</t>
  </si>
  <si>
    <t>VMS</t>
  </si>
  <si>
    <t>Kuroko</t>
  </si>
  <si>
    <t>C</t>
  </si>
  <si>
    <t>formerly Celamin Holdings</t>
  </si>
  <si>
    <t>Annual Report 2011</t>
  </si>
  <si>
    <t>Tala Hamza</t>
  </si>
  <si>
    <t>Epithermal</t>
  </si>
  <si>
    <t>Terramin Australia</t>
  </si>
  <si>
    <t>Annual Report 2013</t>
  </si>
  <si>
    <t>Tan Chaffao Est</t>
  </si>
  <si>
    <t>Cancor Mines</t>
  </si>
  <si>
    <t>Tech Rep (2012-02)</t>
  </si>
  <si>
    <t>Aguilar</t>
  </si>
  <si>
    <t>Argentina</t>
  </si>
  <si>
    <t>Sedex</t>
  </si>
  <si>
    <t>Glencore Xstrata</t>
  </si>
  <si>
    <t>Reserves-Resources 2013</t>
  </si>
  <si>
    <t>Los Azules</t>
  </si>
  <si>
    <t>Porphyry</t>
  </si>
  <si>
    <t>McEwen Mining</t>
  </si>
  <si>
    <t>Tech Rep (2013-10)</t>
  </si>
  <si>
    <t>Navidad</t>
  </si>
  <si>
    <t>Pan American Silver Corp.</t>
  </si>
  <si>
    <t>Ann Info Form 2013</t>
  </si>
  <si>
    <t>Pingüino</t>
  </si>
  <si>
    <t>Low sulfidation</t>
  </si>
  <si>
    <t>Argentex Mining Corp</t>
  </si>
  <si>
    <t>Tech Rep (2014-08)</t>
  </si>
  <si>
    <t>Pirquitas</t>
  </si>
  <si>
    <t>Low sulfidation?</t>
  </si>
  <si>
    <t>Silver Standard</t>
  </si>
  <si>
    <t>Akhtala (Alaverdi)</t>
  </si>
  <si>
    <t>Armenia</t>
  </si>
  <si>
    <t>Mederer et al 2014</t>
  </si>
  <si>
    <t>Armanis-Sagamar</t>
  </si>
  <si>
    <t>Global Metals</t>
  </si>
  <si>
    <t>Website (2016-05-01)</t>
  </si>
  <si>
    <t>Shahumyan (Kapan)</t>
  </si>
  <si>
    <t>Dundee Precious Metals</t>
  </si>
  <si>
    <t>Shamlugh</t>
  </si>
  <si>
    <t>Calder et al (2014)</t>
  </si>
  <si>
    <t>Marjan</t>
  </si>
  <si>
    <t>Global Gold Corp</t>
  </si>
  <si>
    <t>Website (2014-08-11)</t>
  </si>
  <si>
    <t>Admiral Bay</t>
  </si>
  <si>
    <t>Australia</t>
  </si>
  <si>
    <t>Kagara</t>
  </si>
  <si>
    <t>Ann Rep 2011</t>
  </si>
  <si>
    <t>Allison's Lode</t>
  </si>
  <si>
    <t>Zeehan Zinc / Creat Resources Holdings</t>
  </si>
  <si>
    <t>Media (2009-03-29)</t>
  </si>
  <si>
    <t>Altia</t>
  </si>
  <si>
    <t>Breakaway Resources (now Minotaur Exploration)</t>
  </si>
  <si>
    <t>Ann Rep 2012</t>
  </si>
  <si>
    <t>Anaconda</t>
  </si>
  <si>
    <t>Glencore (?)</t>
  </si>
  <si>
    <t>Minedex (2013-05-05)</t>
  </si>
  <si>
    <t>Angas</t>
  </si>
  <si>
    <t>Ann Rep 2013</t>
  </si>
  <si>
    <t>Area 55</t>
  </si>
  <si>
    <t>Magmatic sulfide</t>
  </si>
  <si>
    <t>Sediment-hosted polymetallic</t>
  </si>
  <si>
    <t>Hunnan Australia Resources</t>
  </si>
  <si>
    <t>Ann Rep 2007 (Compass Res.)</t>
  </si>
  <si>
    <t>Balcooma Group</t>
  </si>
  <si>
    <t>Bali Hi</t>
  </si>
  <si>
    <t>Artemis Resources (?)</t>
  </si>
  <si>
    <t>Barrow Creek-Home of Bullion</t>
  </si>
  <si>
    <t>Kidman Resources</t>
  </si>
  <si>
    <t>Ann Rep 2015</t>
  </si>
  <si>
    <t>Belara</t>
  </si>
  <si>
    <t>Ironbark Zinc</t>
  </si>
  <si>
    <t>Website (2013-03-22)</t>
  </si>
  <si>
    <t>Bentley</t>
  </si>
  <si>
    <t>Independence Group</t>
  </si>
  <si>
    <t>Bowdens</t>
  </si>
  <si>
    <t>Kingsgate Consolidated</t>
  </si>
  <si>
    <t>Broken Hill (Aust)</t>
  </si>
  <si>
    <t>Perilya Mines</t>
  </si>
  <si>
    <t>media (2012-12-28)</t>
  </si>
  <si>
    <t>Broken Hill (Aust)-Rasp</t>
  </si>
  <si>
    <t>Toho Zinc</t>
  </si>
  <si>
    <t>Ann Rep 2009 (CBH)</t>
  </si>
  <si>
    <t>Browns Reef</t>
  </si>
  <si>
    <t>Orogenic Au</t>
  </si>
  <si>
    <t>Comet Resources</t>
  </si>
  <si>
    <t>Ann Rep 2007</t>
  </si>
  <si>
    <t>Brown's-Brown's East</t>
  </si>
  <si>
    <t>HNC Australia Resources</t>
  </si>
  <si>
    <t>NT DME Fact Sheet 2013-09</t>
  </si>
  <si>
    <t>Bulman</t>
  </si>
  <si>
    <t>Admiralty Resources</t>
  </si>
  <si>
    <t>Burns Peak</t>
  </si>
  <si>
    <t>Mancala Resources Pty Ltd</t>
  </si>
  <si>
    <t>DPEMP (2014)</t>
  </si>
  <si>
    <t>Burnside-Iron Blow</t>
  </si>
  <si>
    <t>Crocodile Gold</t>
  </si>
  <si>
    <t>Tech Rep (2013-07)</t>
  </si>
  <si>
    <t>Cannington</t>
  </si>
  <si>
    <t>BHP Billiton</t>
  </si>
  <si>
    <t>Carboona</t>
  </si>
  <si>
    <t>Aust Mines Atlas (2013-10-01)</t>
  </si>
  <si>
    <t>Century-Century East</t>
  </si>
  <si>
    <t>MMG</t>
  </si>
  <si>
    <t>Chakola-Harnett Central</t>
  </si>
  <si>
    <t>Capital Mining</t>
  </si>
  <si>
    <t>Comstock (Australia)</t>
  </si>
  <si>
    <t>Conrad-King Conrad-Greisen</t>
  </si>
  <si>
    <t>Skarn</t>
  </si>
  <si>
    <t>Malachite Resources</t>
  </si>
  <si>
    <t>Ann Rep 2009</t>
  </si>
  <si>
    <t>Coxco</t>
  </si>
  <si>
    <t>Daly River Anomaly A</t>
  </si>
  <si>
    <t>Troy Resources</t>
  </si>
  <si>
    <t>Develin Creek-Rookwood</t>
  </si>
  <si>
    <t>Fitzroy Resources</t>
  </si>
  <si>
    <t>Djibigan (Manbarrum)</t>
  </si>
  <si>
    <t>Sediment-hosted Pb-Zn?</t>
  </si>
  <si>
    <t>Sedex?</t>
  </si>
  <si>
    <t>TNG Ltd (sold to Legacy Iron late 2013)</t>
  </si>
  <si>
    <t>Dugald River</t>
  </si>
  <si>
    <t>Eastman</t>
  </si>
  <si>
    <t>Massive Resources Pty Ltd</t>
  </si>
  <si>
    <t>Ediacara</t>
  </si>
  <si>
    <t>SA DMITRE Website (2014-12-15)</t>
  </si>
  <si>
    <t>Emull-Lamboo</t>
  </si>
  <si>
    <t>Northern Star Resources</t>
  </si>
  <si>
    <t>Endeavour (Elura)</t>
  </si>
  <si>
    <t>Tech Rep (2013-04) (Couer Mining)</t>
  </si>
  <si>
    <t>Evelyn</t>
  </si>
  <si>
    <t>Explorer 108</t>
  </si>
  <si>
    <t>Westgold Resources (now Metals-X)</t>
  </si>
  <si>
    <t>Federation</t>
  </si>
  <si>
    <t>Flinders Group</t>
  </si>
  <si>
    <t>Fossey-Fossey East</t>
  </si>
  <si>
    <t>Bass Metals</t>
  </si>
  <si>
    <t>Golden Grove</t>
  </si>
  <si>
    <t>Gossan Dam-Bonnie Rock</t>
  </si>
  <si>
    <t>Epithermal?</t>
  </si>
  <si>
    <t>Grants Creek-Wilsons Reef</t>
  </si>
  <si>
    <t>Firestrike Resources</t>
  </si>
  <si>
    <t>Grieves Quarry</t>
  </si>
  <si>
    <t>Icon Resources</t>
  </si>
  <si>
    <t>Website (2013-03-24)</t>
  </si>
  <si>
    <t>Hellyer Remnants</t>
  </si>
  <si>
    <r>
      <rPr>
        <sz val="10"/>
        <color rgb="FF000000"/>
        <rFont val="Arial"/>
        <family val="2"/>
      </rPr>
      <t xml:space="preserve">Hellyer </t>
    </r>
    <r>
      <rPr>
        <b/>
        <sz val="10"/>
        <color rgb="FFFF0000"/>
        <rFont val="Arial"/>
        <family val="2"/>
      </rPr>
      <t>Tailings</t>
    </r>
  </si>
  <si>
    <r>
      <rPr>
        <sz val="10"/>
        <color rgb="FFFF0000"/>
        <rFont val="Arial"/>
        <family val="2"/>
      </rPr>
      <t xml:space="preserve">VMS </t>
    </r>
    <r>
      <rPr>
        <b/>
        <sz val="10"/>
        <color rgb="FFFF0000"/>
        <rFont val="Arial"/>
        <family val="2"/>
      </rPr>
      <t>Tailings</t>
    </r>
  </si>
  <si>
    <t>TC</t>
  </si>
  <si>
    <t>Ivy Resources</t>
  </si>
  <si>
    <t>Ann Rep 2011 (Bass Metals)</t>
  </si>
  <si>
    <t>Hera</t>
  </si>
  <si>
    <t>YTC Resources</t>
  </si>
  <si>
    <t>Higgs</t>
  </si>
  <si>
    <t>Frontier Resources (?)</t>
  </si>
  <si>
    <t>Jackson-Stella-Chloe Trend</t>
  </si>
  <si>
    <t>Kagara (?)</t>
  </si>
  <si>
    <t>Ann Rep 2011 (Copper Strike)</t>
  </si>
  <si>
    <t>Jaguar</t>
  </si>
  <si>
    <t>Jervois Group</t>
  </si>
  <si>
    <t>Possibly Sedex</t>
  </si>
  <si>
    <t>KGL-Kentor Gold</t>
  </si>
  <si>
    <t>Kamarga-JB</t>
  </si>
  <si>
    <t>RMG</t>
  </si>
  <si>
    <t>Kangaroo Caves</t>
  </si>
  <si>
    <t>Venturex Resources</t>
  </si>
  <si>
    <t>Kangiara</t>
  </si>
  <si>
    <t>Porpphyry Cu-Au</t>
  </si>
  <si>
    <t>Paradigm Metals</t>
  </si>
  <si>
    <t>Kempfield</t>
  </si>
  <si>
    <t>Argent Minerals</t>
  </si>
  <si>
    <t>Koonenberry</t>
  </si>
  <si>
    <t>Ausmon Resources</t>
  </si>
  <si>
    <t>Kroombit (Cu+Zn/Cu)</t>
  </si>
  <si>
    <t>Argonaut Resources</t>
  </si>
  <si>
    <t>Media (2009-06-11)</t>
  </si>
  <si>
    <t>Lady Loretta</t>
  </si>
  <si>
    <t>ResV ResC 2013</t>
  </si>
  <si>
    <t>Lennard Shelf Group</t>
  </si>
  <si>
    <t>North-West Mining &amp; Geology Group (formerly Meridian Minerals)</t>
  </si>
  <si>
    <t>Lennon's Find</t>
  </si>
  <si>
    <t>Laconia Resources (sold to Musketeer Minerals Pty Ltd late 2013)</t>
  </si>
  <si>
    <t>Lewis Ponds</t>
  </si>
  <si>
    <t>TriAusMin</t>
  </si>
  <si>
    <t>Liberty-Indee (Evelyn)</t>
  </si>
  <si>
    <t>Magellan</t>
  </si>
  <si>
    <t>Non-sulfide MVT</t>
  </si>
  <si>
    <t>Ivernia</t>
  </si>
  <si>
    <t>Manindi-Freddie Well</t>
  </si>
  <si>
    <t>Metals Australia</t>
  </si>
  <si>
    <t>Maramungee</t>
  </si>
  <si>
    <t>Williams &amp; Heinemann (1993)</t>
  </si>
  <si>
    <t>Mariposa</t>
  </si>
  <si>
    <t>Mayfield</t>
  </si>
  <si>
    <t>Forge Resources / Capital Mining</t>
  </si>
  <si>
    <t>Ann Rep 2013 (Capital)</t>
  </si>
  <si>
    <t>McArthur River</t>
  </si>
  <si>
    <t>Menninnie Dam</t>
  </si>
  <si>
    <t>Merlin-Little Wizard</t>
  </si>
  <si>
    <t>IOCG</t>
  </si>
  <si>
    <t>Cloncurry-type</t>
  </si>
  <si>
    <t>Inova Res. (formerly Ivanhoe Aust.)</t>
  </si>
  <si>
    <t>Tech Rep (2010-10)</t>
  </si>
  <si>
    <t>Mons Cupri</t>
  </si>
  <si>
    <t>Morrison</t>
  </si>
  <si>
    <t>Aust Mines Atlas (2013-09-30)</t>
  </si>
  <si>
    <t>Mt Angelo North</t>
  </si>
  <si>
    <t>Porphyry Cu-Au-Pb-Zn</t>
  </si>
  <si>
    <t>3D Resources</t>
  </si>
  <si>
    <t>Mt Ararat</t>
  </si>
  <si>
    <t>Stavely Minerals</t>
  </si>
  <si>
    <t>Media (2015-09-08)</t>
  </si>
  <si>
    <t>Mt Bonnie</t>
  </si>
  <si>
    <t>Mt Charter</t>
  </si>
  <si>
    <t>Mt Clement-Eastern Hills</t>
  </si>
  <si>
    <t>Artemis Resources</t>
  </si>
  <si>
    <t>Mt Dore</t>
  </si>
  <si>
    <t>Mt Garnet Group</t>
  </si>
  <si>
    <t>Mt Isa (Open Cut)</t>
  </si>
  <si>
    <t>Mt Isa-Black Star</t>
  </si>
  <si>
    <t>Mt Isa-George Fisher North</t>
  </si>
  <si>
    <t>Mt Isa-George Fisher South (Hilton)</t>
  </si>
  <si>
    <t>Mt Isa-Handle Bar Hill</t>
  </si>
  <si>
    <t>Mt Moss</t>
  </si>
  <si>
    <t>Curtain Bros (Qld)</t>
  </si>
  <si>
    <t>Qld Met. Ind. Mines 2012</t>
  </si>
  <si>
    <t>Mt Mulcahy</t>
  </si>
  <si>
    <t>Black Raven Mining</t>
  </si>
  <si>
    <t>Mulgul-Jillawarra (Abra)</t>
  </si>
  <si>
    <t>Hunan Nonferrous Metals</t>
  </si>
  <si>
    <t>Ann Rep 2010 (Jabiru Metals; also Minedex)</t>
  </si>
  <si>
    <t>Myrtle</t>
  </si>
  <si>
    <t>Rox Resources</t>
  </si>
  <si>
    <t>Narrawa</t>
  </si>
  <si>
    <t>Torque Mining (formerly Frontier Resources)</t>
  </si>
  <si>
    <t>Prospectus (2013-07)</t>
  </si>
  <si>
    <t>Nightflower-Digger Lode</t>
  </si>
  <si>
    <t>media (2008-09-26) (Axiom Mining)</t>
  </si>
  <si>
    <t>Nimbus</t>
  </si>
  <si>
    <t>High sulfidation</t>
  </si>
  <si>
    <t>MacPhersons Resources</t>
  </si>
  <si>
    <t>Tech Rep (2013-11)</t>
  </si>
  <si>
    <t>Northampton-Mary Springs</t>
  </si>
  <si>
    <t>Prospect Resources (formerly Ethan Minerals)</t>
  </si>
  <si>
    <t>Nymagee</t>
  </si>
  <si>
    <t>O'Callaghans</t>
  </si>
  <si>
    <t>Newcrest Mining</t>
  </si>
  <si>
    <t>Oceana</t>
  </si>
  <si>
    <t>Onedin (Koongie Park)</t>
  </si>
  <si>
    <t>Anglo Australian Resources</t>
  </si>
  <si>
    <t>Parkers Hill (Mineral Hill)</t>
  </si>
  <si>
    <t>KBL Mining</t>
  </si>
  <si>
    <t>Peelwood North/South</t>
  </si>
  <si>
    <t>Balamara Resources (Sultan Corp)</t>
  </si>
  <si>
    <t>Pegmont</t>
  </si>
  <si>
    <t>Pegmont Mines</t>
  </si>
  <si>
    <t>Peterlumbo-Paris</t>
  </si>
  <si>
    <t>High sulfidation?</t>
  </si>
  <si>
    <t>Investigator Resources</t>
  </si>
  <si>
    <t>Media (2013-10-15)</t>
  </si>
  <si>
    <t>Prairie Downs</t>
  </si>
  <si>
    <t>Prairie Downs Metals (now Brumby Resources)</t>
  </si>
  <si>
    <t>Que River-Que River S Lens</t>
  </si>
  <si>
    <t>Queenslander</t>
  </si>
  <si>
    <t>Quinns-Austin</t>
  </si>
  <si>
    <t>Caravel Minerals (formerly Silver Swan Group)</t>
  </si>
  <si>
    <t>Railway Flat</t>
  </si>
  <si>
    <t>Range &amp; Turtle/Copper Ridge</t>
  </si>
  <si>
    <t>Onslow Minerals</t>
  </si>
  <si>
    <t>Red Cap Group</t>
  </si>
  <si>
    <t>Qtr 2012-06</t>
  </si>
  <si>
    <t>Rosebery-South Hercules</t>
  </si>
  <si>
    <t>Salt Creek</t>
  </si>
  <si>
    <t>Sandiego</t>
  </si>
  <si>
    <t>Sandy Creek</t>
  </si>
  <si>
    <t>TNG Ltd</t>
  </si>
  <si>
    <t>Silver King</t>
  </si>
  <si>
    <t>Sorby Hills</t>
  </si>
  <si>
    <t>Stockman</t>
  </si>
  <si>
    <t>Sulphur Springs</t>
  </si>
  <si>
    <t>Sunny Corner</t>
  </si>
  <si>
    <t>Sunshine</t>
  </si>
  <si>
    <t>Stonehenge Metals (?)</t>
  </si>
  <si>
    <t>Sunter</t>
  </si>
  <si>
    <t>Tally Ho</t>
  </si>
  <si>
    <t>Orogenic Au?</t>
  </si>
  <si>
    <t>Alcyone Resources</t>
  </si>
  <si>
    <t>Ann Rep 2008</t>
  </si>
  <si>
    <t>Teena</t>
  </si>
  <si>
    <t>Media (2016-06-01)</t>
  </si>
  <si>
    <t>Teutonic Bore</t>
  </si>
  <si>
    <t>Thalanga Group</t>
  </si>
  <si>
    <t>Trilogy</t>
  </si>
  <si>
    <t>Associated with Kundip</t>
  </si>
  <si>
    <t>Silver Lake Resources</t>
  </si>
  <si>
    <t>Ann Rep 2012/2013</t>
  </si>
  <si>
    <t>Turner River-Orchard Well/Discovery</t>
  </si>
  <si>
    <t>De Grey Mining</t>
  </si>
  <si>
    <t>Wagga Tank</t>
  </si>
  <si>
    <t>MMG51%, Golden Cross Resources49%</t>
  </si>
  <si>
    <t>Ann Rep 2001 (GCR)</t>
  </si>
  <si>
    <t>Walford Creek</t>
  </si>
  <si>
    <t>Aeon Metals</t>
  </si>
  <si>
    <t>ASX (2014-04-03)</t>
  </si>
  <si>
    <t>Webbs</t>
  </si>
  <si>
    <t>Silver Mines</t>
  </si>
  <si>
    <t>Whim Creek</t>
  </si>
  <si>
    <t>Whundo Cu-Zn / Zn</t>
  </si>
  <si>
    <t>Fox Resources</t>
  </si>
  <si>
    <t>Wonawinta</t>
  </si>
  <si>
    <t>MVT?</t>
  </si>
  <si>
    <t>Cobar Consolidated Resources</t>
  </si>
  <si>
    <t>Inv Pres 2014-03</t>
  </si>
  <si>
    <r>
      <rPr>
        <sz val="10"/>
        <color rgb="FF000000"/>
        <rFont val="Arial"/>
        <family val="2"/>
      </rPr>
      <t xml:space="preserve">Woodlawn </t>
    </r>
    <r>
      <rPr>
        <b/>
        <sz val="10"/>
        <color rgb="FFFF0000"/>
        <rFont val="Arial"/>
        <family val="2"/>
      </rPr>
      <t>Tailings</t>
    </r>
  </si>
  <si>
    <r>
      <rPr>
        <sz val="10"/>
        <color rgb="FF000000"/>
        <rFont val="Arial"/>
        <family val="2"/>
      </rPr>
      <t xml:space="preserve">Sediment-hosted Pb-Zn/VMS </t>
    </r>
    <r>
      <rPr>
        <b/>
        <sz val="10"/>
        <color rgb="FFFF0000"/>
        <rFont val="Arial"/>
        <family val="2"/>
      </rPr>
      <t>Tailings</t>
    </r>
  </si>
  <si>
    <t>Sedex/VMS</t>
  </si>
  <si>
    <t>Woodlawn Underground</t>
  </si>
  <si>
    <t>Sediment-hosted Pb-Zn/VMS</t>
  </si>
  <si>
    <r>
      <rPr>
        <sz val="10"/>
        <color rgb="FF000000"/>
        <rFont val="Arial"/>
        <family val="2"/>
      </rPr>
      <t xml:space="preserve">Zeehan Group </t>
    </r>
    <r>
      <rPr>
        <b/>
        <sz val="10"/>
        <color rgb="FF008000"/>
        <rFont val="Arial"/>
        <family val="2"/>
      </rPr>
      <t>Slag</t>
    </r>
  </si>
  <si>
    <r>
      <rPr>
        <sz val="10"/>
        <color rgb="FF000000"/>
        <rFont val="Arial"/>
        <family val="2"/>
      </rPr>
      <t xml:space="preserve">VMS </t>
    </r>
    <r>
      <rPr>
        <b/>
        <sz val="10"/>
        <color rgb="FF008000"/>
        <rFont val="Arial"/>
        <family val="2"/>
      </rPr>
      <t>Slag</t>
    </r>
  </si>
  <si>
    <t>VMS Slag</t>
  </si>
  <si>
    <t>Intec Ltd</t>
  </si>
  <si>
    <t>Ann Rep 2007, 2013</t>
  </si>
  <si>
    <t>Filizchay (Filizchai)</t>
  </si>
  <si>
    <t>Azerbaijan</t>
  </si>
  <si>
    <t>Azerbaijan Gov't website (2015-04-24)</t>
  </si>
  <si>
    <t>Bolivar</t>
  </si>
  <si>
    <t>Bolivia</t>
  </si>
  <si>
    <t>Bolivian Polymetallic vein type?</t>
  </si>
  <si>
    <t>Caballo Blanco</t>
  </si>
  <si>
    <r>
      <rPr>
        <sz val="10"/>
        <color rgb="FF000000"/>
        <rFont val="Arial"/>
        <family val="2"/>
      </rPr>
      <t xml:space="preserve">La Solución </t>
    </r>
    <r>
      <rPr>
        <b/>
        <sz val="10"/>
        <color rgb="FFFF0000"/>
        <rFont val="Arial"/>
        <family val="2"/>
      </rPr>
      <t>Tailings</t>
    </r>
  </si>
  <si>
    <r>
      <rPr>
        <sz val="10"/>
        <color rgb="FF000000"/>
        <rFont val="Arial"/>
        <family val="2"/>
      </rPr>
      <t xml:space="preserve">Epithermal ? </t>
    </r>
    <r>
      <rPr>
        <b/>
        <sz val="10"/>
        <color rgb="FFFF0000"/>
        <rFont val="Arial"/>
        <family val="2"/>
      </rPr>
      <t>Tailings</t>
    </r>
  </si>
  <si>
    <t>Apogee Minerals</t>
  </si>
  <si>
    <t>Tech Rep (2007-11)</t>
  </si>
  <si>
    <t>La Solución-Veta Hampaturi Sur</t>
  </si>
  <si>
    <t>Tech Rep (2007-05)</t>
  </si>
  <si>
    <t>Malku Khota</t>
  </si>
  <si>
    <t>South American Silver Corp</t>
  </si>
  <si>
    <t>Tech Rep (2011-05)</t>
  </si>
  <si>
    <t>Paca</t>
  </si>
  <si>
    <t>Poopo</t>
  </si>
  <si>
    <t>Porco</t>
  </si>
  <si>
    <t>Pulacayo-Paya</t>
  </si>
  <si>
    <t>Apogee Minerals, COMIBOL</t>
  </si>
  <si>
    <t>Tech Rep (2013-01)</t>
  </si>
  <si>
    <t>San Vicente (Bolivia)</t>
  </si>
  <si>
    <t>Kihabe</t>
  </si>
  <si>
    <t>Botswana</t>
  </si>
  <si>
    <t>Mt Burgess Mining</t>
  </si>
  <si>
    <t>Nxuu</t>
  </si>
  <si>
    <t>Aripuanã (Ambrex-Arex-Expedito-Valley)</t>
  </si>
  <si>
    <t>Brazil</t>
  </si>
  <si>
    <t>Votorantim Metais-70%, Karmin Expl-30%</t>
  </si>
  <si>
    <t>Tech Rep (2013-02)</t>
  </si>
  <si>
    <t>Boquira</t>
  </si>
  <si>
    <t>Misi et al (1999)</t>
  </si>
  <si>
    <t>Canoas</t>
  </si>
  <si>
    <t>Fagundes</t>
  </si>
  <si>
    <t>Irecê</t>
  </si>
  <si>
    <t>Januaria</t>
  </si>
  <si>
    <t>Morro Agudo</t>
  </si>
  <si>
    <t>Cunha et al (2000)</t>
  </si>
  <si>
    <t>Nova Redenção (New Redemption)</t>
  </si>
  <si>
    <t>Filho et al (2001)</t>
  </si>
  <si>
    <t>Palmeirópolis</t>
  </si>
  <si>
    <t>Brandão et al (2000)</t>
  </si>
  <si>
    <t>Perau</t>
  </si>
  <si>
    <t>S. Maria</t>
  </si>
  <si>
    <t>Tres Irmas</t>
  </si>
  <si>
    <t>Vazante</t>
  </si>
  <si>
    <t>Monteiro et al (2007)</t>
  </si>
  <si>
    <t>Perkoa</t>
  </si>
  <si>
    <t>Burkina Faso</t>
  </si>
  <si>
    <t>Abcourt-Barvue</t>
  </si>
  <si>
    <t>Canada</t>
  </si>
  <si>
    <t>Abcourt Mines Inc</t>
  </si>
  <si>
    <t>Tech Rep (2014-04)</t>
  </si>
  <si>
    <t>Akie-Cardiac Creek</t>
  </si>
  <si>
    <t>Canada Zinc Metals</t>
  </si>
  <si>
    <t>Tech Rep (2012-05)</t>
  </si>
  <si>
    <t>Aldermac</t>
  </si>
  <si>
    <t>Abcourt Mines</t>
  </si>
  <si>
    <t>Ann Info Form 2011</t>
  </si>
  <si>
    <t>Amy</t>
  </si>
  <si>
    <t>?</t>
  </si>
  <si>
    <t>BC OFR (1998-10)</t>
  </si>
  <si>
    <t>Andrew (Lad)</t>
  </si>
  <si>
    <t>Mesothermal Vein</t>
  </si>
  <si>
    <t>Overland Resources</t>
  </si>
  <si>
    <t>Atlin-Ruffner</t>
  </si>
  <si>
    <t>Barvallée</t>
  </si>
  <si>
    <t>Bear</t>
  </si>
  <si>
    <t>unknown (Solid Res. Now Iberian Mins.??)</t>
  </si>
  <si>
    <t>NWT Guide 2007</t>
  </si>
  <si>
    <t>Bear-Twit</t>
  </si>
  <si>
    <t>Belfort (Roymont)</t>
  </si>
  <si>
    <t>Bend 1 (Canyon Zone)</t>
  </si>
  <si>
    <t>SEDEX</t>
  </si>
  <si>
    <t>Berrigan North (Taché)</t>
  </si>
  <si>
    <t>Chibougamau Independent Mines Inc</t>
  </si>
  <si>
    <t>Tech Rep (2012-08)</t>
  </si>
  <si>
    <t>Berrigan South (Lac Taché)</t>
  </si>
  <si>
    <t>Beveley</t>
  </si>
  <si>
    <t>Big Bull</t>
  </si>
  <si>
    <t>Chieftain Metals</t>
  </si>
  <si>
    <t>Tech Rep (2010-11)</t>
  </si>
  <si>
    <t>Big Ledge</t>
  </si>
  <si>
    <t>Min Deps Canada 2007 Goodfellow &amp; Lydon</t>
  </si>
  <si>
    <t>Big Showing (Teddy Glacier)</t>
  </si>
  <si>
    <t>Jazz Resources</t>
  </si>
  <si>
    <t>Blende</t>
  </si>
  <si>
    <t>Blind Creek Resources (formerly Eagle Plains Res.)</t>
  </si>
  <si>
    <t>Tech Rep (2007-08)</t>
  </si>
  <si>
    <t>Bobby's Pond</t>
  </si>
  <si>
    <t>Mountain Lake Resources</t>
  </si>
  <si>
    <t>Tech Rep (2008-09)</t>
  </si>
  <si>
    <t>Boomerang-Domino (Tulks South)</t>
  </si>
  <si>
    <t>Canadian Zinc Corp</t>
  </si>
  <si>
    <t>Bowler Creek</t>
  </si>
  <si>
    <t>Brabant Lake</t>
  </si>
  <si>
    <t>Manicougan Minerals</t>
  </si>
  <si>
    <t>Bracemac-McLeod</t>
  </si>
  <si>
    <t>Brandywine-Silver Tunnel-Northair</t>
  </si>
  <si>
    <t>Buckton-Buckton South</t>
  </si>
  <si>
    <t>Shale-hosted</t>
  </si>
  <si>
    <t>DNI Metals</t>
  </si>
  <si>
    <t>Tech Rep (2014-01)</t>
  </si>
  <si>
    <t>Cadieux</t>
  </si>
  <si>
    <t>(see Gatineau, Midland Expl'n)</t>
  </si>
  <si>
    <t>Caledonia</t>
  </si>
  <si>
    <t>BC OFR (1998-10), MINFILE 092L-061</t>
  </si>
  <si>
    <t>Caribou</t>
  </si>
  <si>
    <t>Trevali Mining Corp.</t>
  </si>
  <si>
    <t>Cassiar Camp</t>
  </si>
  <si>
    <t>Skarn-Manto</t>
  </si>
  <si>
    <t>Chester</t>
  </si>
  <si>
    <t>Explor Resources</t>
  </si>
  <si>
    <t>Chu Chua</t>
  </si>
  <si>
    <t>Reva Resources</t>
  </si>
  <si>
    <t>Cirque-South Cirque</t>
  </si>
  <si>
    <t>Teck Resources-50%, Korea Zinc-50%</t>
  </si>
  <si>
    <t>(Canada Zinc Metals; Tech Rep 2012-05 Pie)</t>
  </si>
  <si>
    <t>CK</t>
  </si>
  <si>
    <t>Clark</t>
  </si>
  <si>
    <t>Skarn-manto</t>
  </si>
  <si>
    <t>Yukon Gov't Zn profile</t>
  </si>
  <si>
    <t>Clear Lake</t>
  </si>
  <si>
    <t>Golden Predator (formerly Redtail Metals)</t>
  </si>
  <si>
    <t>Tech Rep (2010-02)</t>
  </si>
  <si>
    <t>Colby (Kingfisher-Noreen)</t>
  </si>
  <si>
    <t>Rich River Exploration (?)</t>
  </si>
  <si>
    <t>Corp Brochure</t>
  </si>
  <si>
    <t>Comstock (Canada)</t>
  </si>
  <si>
    <t>Copper Crown</t>
  </si>
  <si>
    <t>Cottonbelt</t>
  </si>
  <si>
    <t>Coulon</t>
  </si>
  <si>
    <t>Virginia Mines Inc</t>
  </si>
  <si>
    <t>Tech Rep (2009-05)</t>
  </si>
  <si>
    <t>Craig</t>
  </si>
  <si>
    <t>Glencore Xstrata (?)</t>
  </si>
  <si>
    <t>Cronin</t>
  </si>
  <si>
    <t>Damascus</t>
  </si>
  <si>
    <t>Gold Reach Resources</t>
  </si>
  <si>
    <t>Website (2016-07-11)</t>
  </si>
  <si>
    <t>Darcy</t>
  </si>
  <si>
    <t>Darin</t>
  </si>
  <si>
    <t>DEB</t>
  </si>
  <si>
    <t>Seabridge Gold (?)</t>
  </si>
  <si>
    <t>De Maurès</t>
  </si>
  <si>
    <t>Vior Expl. &amp; Mining website (2014-07-27)</t>
  </si>
  <si>
    <t>Domergue-Anomaly E</t>
  </si>
  <si>
    <t>Driftpile Creek</t>
  </si>
  <si>
    <t>Teck Resources</t>
  </si>
  <si>
    <t>Duck Pond</t>
  </si>
  <si>
    <t>Teck</t>
  </si>
  <si>
    <t>Duncan</t>
  </si>
  <si>
    <t>BC Geol Surv</t>
  </si>
  <si>
    <t>Duthie</t>
  </si>
  <si>
    <t>East Kemptville</t>
  </si>
  <si>
    <t>Skarn (Greisen)</t>
  </si>
  <si>
    <t>Avalon Rare Metals</t>
  </si>
  <si>
    <t>Factsheet</t>
  </si>
  <si>
    <t>Eclipse</t>
  </si>
  <si>
    <t>Geol Innuit 1991</t>
  </si>
  <si>
    <t>Ecstall</t>
  </si>
  <si>
    <t>Atna Resources</t>
  </si>
  <si>
    <t>Ericksen-Ashby</t>
  </si>
  <si>
    <t>Errington</t>
  </si>
  <si>
    <t>Esker</t>
  </si>
  <si>
    <t>Min Deps Canada 2007 Paradis et al</t>
  </si>
  <si>
    <t>Estrades-Caribou</t>
  </si>
  <si>
    <t>Cogitore Resources</t>
  </si>
  <si>
    <t>Tech Rep (2008-12)</t>
  </si>
  <si>
    <t>Explo-Zinc (Kistabiche)</t>
  </si>
  <si>
    <t>Ann Info Form 2008</t>
  </si>
  <si>
    <t>Faro</t>
  </si>
  <si>
    <t>Fault Creek</t>
  </si>
  <si>
    <t>Fyre Lake Tech Rep (Pacific Ridge)</t>
  </si>
  <si>
    <t>Fireweed</t>
  </si>
  <si>
    <t>Regulus Resources (formerly Jandar Res.)</t>
  </si>
  <si>
    <t>Tech Rep (2006-03; Jandar Res.)</t>
  </si>
  <si>
    <t>Gayna River</t>
  </si>
  <si>
    <t>unknown (Eagle Plains Res.??)</t>
  </si>
  <si>
    <t>George Lake</t>
  </si>
  <si>
    <t>unknown (formerly Golden Arch Resources?)</t>
  </si>
  <si>
    <t>Tech Rep (2007-04)</t>
  </si>
  <si>
    <t>Goz Creek (Barrier Reef)</t>
  </si>
  <si>
    <t>GP4F</t>
  </si>
  <si>
    <t>Shaanxi Non-ferrous Metals Holding Group Co Ltd</t>
  </si>
  <si>
    <t>Gray Rock</t>
  </si>
  <si>
    <t>Grizzly (Dy)</t>
  </si>
  <si>
    <t>Groundhog (Jeff-Lorne)</t>
  </si>
  <si>
    <t>unknown (Prism Reosurces?)</t>
  </si>
  <si>
    <t>Grum</t>
  </si>
  <si>
    <t>H.B.</t>
  </si>
  <si>
    <t>Hackett River</t>
  </si>
  <si>
    <t>Halfmile Lake</t>
  </si>
  <si>
    <t>Tech Rep (2011-08)</t>
  </si>
  <si>
    <t>Hart River</t>
  </si>
  <si>
    <t>High Lake</t>
  </si>
  <si>
    <t>Holliday</t>
  </si>
  <si>
    <t>Homestake</t>
  </si>
  <si>
    <t>Horne 5</t>
  </si>
  <si>
    <t>Falco Resources</t>
  </si>
  <si>
    <t>Tech Rep (2014-05)</t>
  </si>
  <si>
    <t>Howard's Pass-Anniv Group</t>
  </si>
  <si>
    <t>Chihong Canada Mining (formerly Selwyn Resources)</t>
  </si>
  <si>
    <t>Ann Info Form 2012</t>
  </si>
  <si>
    <t>Howard's Pass-Brodel</t>
  </si>
  <si>
    <t>Howard's Pass-Don Group</t>
  </si>
  <si>
    <t>Howard's Pass-HC Group</t>
  </si>
  <si>
    <t>Howard's Pass-HP</t>
  </si>
  <si>
    <t>Howard's Pass-OP Group</t>
  </si>
  <si>
    <t>Howard's Pass-Pelly North</t>
  </si>
  <si>
    <t>Howard's Pass-XY Group</t>
  </si>
  <si>
    <t>Hudson Bay Mountain-Silver Lake 2</t>
  </si>
  <si>
    <t>Lions Gate Metals</t>
  </si>
  <si>
    <t>Tech Rep (2005-04)</t>
  </si>
  <si>
    <t>Hudson Bay-777</t>
  </si>
  <si>
    <t>HudBay Minerals</t>
  </si>
  <si>
    <t>Hudson Bay-Bur</t>
  </si>
  <si>
    <t>Tech Rep (2008-01)</t>
  </si>
  <si>
    <t>Hudson Bay-Lalor</t>
  </si>
  <si>
    <t>Hudson Bay-Reed</t>
  </si>
  <si>
    <t>HudBay Minerals-70%, VMS Ventures-30%</t>
  </si>
  <si>
    <t>Hudson Bay-Watts River</t>
  </si>
  <si>
    <t>Hudvam</t>
  </si>
  <si>
    <t>Murgor Resources</t>
  </si>
  <si>
    <t>Tech Rep (2008-10)</t>
  </si>
  <si>
    <t>Indian Mountain (BB Lake-Kennedy Lake)</t>
  </si>
  <si>
    <t>Panarc Resources</t>
  </si>
  <si>
    <t>Brochure</t>
  </si>
  <si>
    <t>Inel (AK)</t>
  </si>
  <si>
    <t>Skarn?</t>
  </si>
  <si>
    <t>Snip Gold Corp</t>
  </si>
  <si>
    <t>Izok Lake</t>
  </si>
  <si>
    <t>J&amp;L (Main Zone-Yellowknife-Yellowjacket)</t>
  </si>
  <si>
    <t>Huakan International Mining</t>
  </si>
  <si>
    <t>Tech Rep (2012-04)</t>
  </si>
  <si>
    <t>Jason</t>
  </si>
  <si>
    <t>Website (2014-10-26)</t>
  </si>
  <si>
    <t>Jersey</t>
  </si>
  <si>
    <t>Jonpol</t>
  </si>
  <si>
    <t>VMS?</t>
  </si>
  <si>
    <t>Jubilee</t>
  </si>
  <si>
    <t>Merrex Gold</t>
  </si>
  <si>
    <t>Tech Rep (2009-02)</t>
  </si>
  <si>
    <t>Keg Main Zone</t>
  </si>
  <si>
    <t>Skarn-epithermal</t>
  </si>
  <si>
    <t>Original skarn with epithermal overprint</t>
  </si>
  <si>
    <t>Silver Range Resources</t>
  </si>
  <si>
    <t>Tech Rep (2013-05)</t>
  </si>
  <si>
    <t>Kennedy Lake-BB Zone</t>
  </si>
  <si>
    <t>unknown (Axmin Inc??)</t>
  </si>
  <si>
    <t>Keno Hill-Bellekeno</t>
  </si>
  <si>
    <t>Alexco Resource Corp.</t>
  </si>
  <si>
    <t>Tech Rep (2013-12)</t>
  </si>
  <si>
    <t>Keno Hill-Flame/Moth</t>
  </si>
  <si>
    <t>Tech Rep (2013-03)</t>
  </si>
  <si>
    <t>Keno Hill-Lucky Queen</t>
  </si>
  <si>
    <t>Keno Hill-Onek</t>
  </si>
  <si>
    <t>Tech Rep (2011-09)</t>
  </si>
  <si>
    <t>Kidd Creek</t>
  </si>
  <si>
    <t>Kitsault (Mo)</t>
  </si>
  <si>
    <t>Porphyry Mo</t>
  </si>
  <si>
    <t>Avanti Mining</t>
  </si>
  <si>
    <t>Tech Rep (2014-03)</t>
  </si>
  <si>
    <t>Kitsault River-Torbrit</t>
  </si>
  <si>
    <t>Kitsault River-Wolf</t>
  </si>
  <si>
    <t>Klaza-BRX</t>
  </si>
  <si>
    <t>Rockhaven Resources</t>
  </si>
  <si>
    <t>Tech Rep (2015-01)</t>
  </si>
  <si>
    <t>Kokanee (Scranton/Sunset)</t>
  </si>
  <si>
    <t>Kootenay King</t>
  </si>
  <si>
    <t>Kudz Ze Kayah (ABM)</t>
  </si>
  <si>
    <t>Ann Info Form 2005</t>
  </si>
  <si>
    <t>Kutcho</t>
  </si>
  <si>
    <t>Capstone Mining</t>
  </si>
  <si>
    <t>La Ronde</t>
  </si>
  <si>
    <t>Agnico Eagle Mines</t>
  </si>
  <si>
    <t>Lafontaine</t>
  </si>
  <si>
    <t>Langlois</t>
  </si>
  <si>
    <t>Nyrstar</t>
  </si>
  <si>
    <t>Lara-Coronation Trend</t>
  </si>
  <si>
    <t>Treasury Metals</t>
  </si>
  <si>
    <t>Leitch</t>
  </si>
  <si>
    <t>Lemarchant-South Tally Pond</t>
  </si>
  <si>
    <t>Tech Rep (2012-03)</t>
  </si>
  <si>
    <t>Lenora (L.35G)</t>
  </si>
  <si>
    <t>Lessard</t>
  </si>
  <si>
    <t>Landore Resources</t>
  </si>
  <si>
    <t>Linda 2-RLM</t>
  </si>
  <si>
    <t>Thundermin Resources</t>
  </si>
  <si>
    <t>Logan</t>
  </si>
  <si>
    <t>Yukon Zinc Corp</t>
  </si>
  <si>
    <t>Company Fact Sheet (2014-06)</t>
  </si>
  <si>
    <t>Long Lake</t>
  </si>
  <si>
    <t>Lundberg-Engine</t>
  </si>
  <si>
    <t>Minco Silver</t>
  </si>
  <si>
    <t>Lustdust (Canyon Creek)</t>
  </si>
  <si>
    <t>ALQ Gold Corp</t>
  </si>
  <si>
    <t>Magusi River</t>
  </si>
  <si>
    <t>Globex Mining</t>
  </si>
  <si>
    <t>Marg</t>
  </si>
  <si>
    <t>Tech Rep (2011-06)</t>
  </si>
  <si>
    <t>Matt Berry (Barb)</t>
  </si>
  <si>
    <t>Website (2016-02-04)</t>
  </si>
  <si>
    <t>McIlvenna Bay</t>
  </si>
  <si>
    <t>Foran Mining Corp</t>
  </si>
  <si>
    <t>Tech Rep (from media 2013-03-27)</t>
  </si>
  <si>
    <t>McMillan</t>
  </si>
  <si>
    <t>Mel</t>
  </si>
  <si>
    <t>Tech Rep (2014-11)</t>
  </si>
  <si>
    <t>Mineral King</t>
  </si>
  <si>
    <t>Ming-Rambler</t>
  </si>
  <si>
    <t>Noranda-type</t>
  </si>
  <si>
    <t>Rambler Metals &amp; Mining</t>
  </si>
  <si>
    <t>Tech Rep (2015-11)</t>
  </si>
  <si>
    <t>Miya-Emerald Glacier</t>
  </si>
  <si>
    <t>Monarch-Kicking Horse</t>
  </si>
  <si>
    <t>Mt Pleasant (North Zone)</t>
  </si>
  <si>
    <t>Sn-W-Mo</t>
  </si>
  <si>
    <t>Adex Mining</t>
  </si>
  <si>
    <t>Murray Brook</t>
  </si>
  <si>
    <t>Votorantim Metais, El Nino</t>
  </si>
  <si>
    <t>Myra Falls</t>
  </si>
  <si>
    <t>Nanisivik</t>
  </si>
  <si>
    <t>Nash Creek</t>
  </si>
  <si>
    <t>Slam Resources</t>
  </si>
  <si>
    <t>Nepisiguit</t>
  </si>
  <si>
    <t>Tech Rep (2012-07)</t>
  </si>
  <si>
    <t>New Moon</t>
  </si>
  <si>
    <t>Northaven Resources Corp (?)</t>
  </si>
  <si>
    <t>Ox-C</t>
  </si>
  <si>
    <t>Packsack</t>
  </si>
  <si>
    <t>PD1</t>
  </si>
  <si>
    <t>Peak</t>
  </si>
  <si>
    <t>Grizzly Discoveries</t>
  </si>
  <si>
    <t>Peso (Rex)</t>
  </si>
  <si>
    <t>Intrusion-related</t>
  </si>
  <si>
    <t>unknown (Victoria Gold Corp?)</t>
  </si>
  <si>
    <t>Pick Lake</t>
  </si>
  <si>
    <t>Golden Share Mining Corp</t>
  </si>
  <si>
    <t>Tech Rep (2013-06)</t>
  </si>
  <si>
    <t>Pine Point Group</t>
  </si>
  <si>
    <t>Tamerlane Ventures</t>
  </si>
  <si>
    <t>Plata</t>
  </si>
  <si>
    <t>Point Leamington</t>
  </si>
  <si>
    <t>Newmarket Gold</t>
  </si>
  <si>
    <t>Tech Rep (2013-09)</t>
  </si>
  <si>
    <t>Polaris</t>
  </si>
  <si>
    <t>Porter-Idaho</t>
  </si>
  <si>
    <t>Portland Canal</t>
  </si>
  <si>
    <t>Prairie Creek</t>
  </si>
  <si>
    <t>Canadian Zinc Corp.</t>
  </si>
  <si>
    <t>Tech Rep (2012-06)</t>
  </si>
  <si>
    <t>Premier Camp</t>
  </si>
  <si>
    <t>Rea / Extra High</t>
  </si>
  <si>
    <t>37 Capitral</t>
  </si>
  <si>
    <t>Tech Rep (2008-02)</t>
  </si>
  <si>
    <t>Red Bird</t>
  </si>
  <si>
    <t>Remac</t>
  </si>
  <si>
    <t>Ribago</t>
  </si>
  <si>
    <t>River Jordan</t>
  </si>
  <si>
    <t>Silver Phoenix Resources</t>
  </si>
  <si>
    <t>Robb Lake (Barrier)</t>
  </si>
  <si>
    <t>BC MINFILE 094B 005</t>
  </si>
  <si>
    <t>Rochon Lake</t>
  </si>
  <si>
    <t>Rock and Roll</t>
  </si>
  <si>
    <t>Pacific North West Capital</t>
  </si>
  <si>
    <t>Tech Rep (2011-02)</t>
  </si>
  <si>
    <t>Romer-Frederickson Lake</t>
  </si>
  <si>
    <t>Tech Rep (2014-02)</t>
  </si>
  <si>
    <t>Romer-Jimmick Lake</t>
  </si>
  <si>
    <t>Romer-Koke</t>
  </si>
  <si>
    <t>Romer-Soucy #1</t>
  </si>
  <si>
    <t>Ruddock Creek</t>
  </si>
  <si>
    <t>Imperial Metals Corp.</t>
  </si>
  <si>
    <t>see also Silver Phoenix (River Jordan), Selkirk Metals ??</t>
  </si>
  <si>
    <t>Ruth-Vermont</t>
  </si>
  <si>
    <t>Jasper Mining</t>
  </si>
  <si>
    <t>Ruttan</t>
  </si>
  <si>
    <t>Sä Dena Hes (Mt Hundere)</t>
  </si>
  <si>
    <t>JDS Silver</t>
  </si>
  <si>
    <t>Ann Info Form 2005 (Teck)</t>
  </si>
  <si>
    <t>Salerno Lake</t>
  </si>
  <si>
    <t>Salmo</t>
  </si>
  <si>
    <t>Scotia (BC)</t>
  </si>
  <si>
    <t>Scotia-Gays River</t>
  </si>
  <si>
    <t>Selwyn Resources</t>
  </si>
  <si>
    <t>Scotia-Getty</t>
  </si>
  <si>
    <t>Scott Lake</t>
  </si>
  <si>
    <t>Tech Rep (2011-07)</t>
  </si>
  <si>
    <t>Seneca</t>
  </si>
  <si>
    <t>Sherridon (Cold-Lost-Bob-Jungle)</t>
  </si>
  <si>
    <t>Sendero Mining Corp (formerly Halo Resources)</t>
  </si>
  <si>
    <t>Silver Coin</t>
  </si>
  <si>
    <t>Jayden Resources</t>
  </si>
  <si>
    <t>Tech Rep (2013-08)</t>
  </si>
  <si>
    <t>Silver Hart</t>
  </si>
  <si>
    <t>CMC Metals</t>
  </si>
  <si>
    <t>Tech Rep (2010-01)</t>
  </si>
  <si>
    <t>Silver King (Ymir)</t>
  </si>
  <si>
    <t>Silver Queen (Cole Lake)</t>
  </si>
  <si>
    <t>New Nadina Exploration</t>
  </si>
  <si>
    <t>Tech Rep (1996-02)</t>
  </si>
  <si>
    <t>Silver Queen (Wrinch)</t>
  </si>
  <si>
    <t>Silvertip (Midway)</t>
  </si>
  <si>
    <t>Tech Rep (2002-10; Silver Standard)</t>
  </si>
  <si>
    <t>Sito East</t>
  </si>
  <si>
    <t>Steadman &amp; Spry 2015</t>
  </si>
  <si>
    <t>Skidder</t>
  </si>
  <si>
    <t>Website (2014-10-31)</t>
  </si>
  <si>
    <t>Slocan Group</t>
  </si>
  <si>
    <t>Smith Copper</t>
  </si>
  <si>
    <t>Spar</t>
  </si>
  <si>
    <t>Stannex-Woolsey</t>
  </si>
  <si>
    <t>Northavn Resources Corp</t>
  </si>
  <si>
    <t>Stemwinder</t>
  </si>
  <si>
    <t>Stratmat</t>
  </si>
  <si>
    <t>Sullivan</t>
  </si>
  <si>
    <t>Summit</t>
  </si>
  <si>
    <t>Sunrise Lake</t>
  </si>
  <si>
    <t>Swim</t>
  </si>
  <si>
    <t>Yukon Gov't Zn profile; PorterGeo</t>
  </si>
  <si>
    <t>Tetagouche-Armstrong A/B</t>
  </si>
  <si>
    <t>Wolfden Resources Corp</t>
  </si>
  <si>
    <t>Tetagouche-Canoe Landing Lake</t>
  </si>
  <si>
    <t>Tetagouche-Rocky Turn</t>
  </si>
  <si>
    <t>Tinta Hill</t>
  </si>
  <si>
    <t>Northern Freegold Resources</t>
  </si>
  <si>
    <t>Tech Rep (2009-08)</t>
  </si>
  <si>
    <t>Tintina (Eagle)</t>
  </si>
  <si>
    <t>Thor</t>
  </si>
  <si>
    <t>Taranis Resources</t>
  </si>
  <si>
    <t>Tech Rep (213-08)</t>
  </si>
  <si>
    <t>Tom</t>
  </si>
  <si>
    <t>Tortigny</t>
  </si>
  <si>
    <t>VMS-associated or SEDEX</t>
  </si>
  <si>
    <t>Beaufield Resources</t>
  </si>
  <si>
    <t>Treasure Mountain</t>
  </si>
  <si>
    <t>Huldra Silver</t>
  </si>
  <si>
    <t>Trout Lake Camp</t>
  </si>
  <si>
    <t>Tulsequah Chief</t>
  </si>
  <si>
    <t>Upton</t>
  </si>
  <si>
    <t>Val</t>
  </si>
  <si>
    <t>Sediment-hosted U</t>
  </si>
  <si>
    <t>Basal U mineralisation</t>
  </si>
  <si>
    <t>Vangorda</t>
  </si>
  <si>
    <t>Vendôme (Mogador)</t>
  </si>
  <si>
    <t>Vera</t>
  </si>
  <si>
    <t>Vermilion</t>
  </si>
  <si>
    <t>Vine 1</t>
  </si>
  <si>
    <t>PJX Resources</t>
  </si>
  <si>
    <t>Virginia Silver</t>
  </si>
  <si>
    <t>Walton</t>
  </si>
  <si>
    <t>Nova Scotia MinFile 2008</t>
  </si>
  <si>
    <t>West Ansil</t>
  </si>
  <si>
    <t>Falco Resources, Glencore Xstrata</t>
  </si>
  <si>
    <t>Wim</t>
  </si>
  <si>
    <t>Wolf (Hasselberg)</t>
  </si>
  <si>
    <t>Wolverine (Fetish)</t>
  </si>
  <si>
    <t>Tech Rep (2007-10)</t>
  </si>
  <si>
    <t>Wrigley</t>
  </si>
  <si>
    <t>Devonian Metals</t>
  </si>
  <si>
    <t>Yava</t>
  </si>
  <si>
    <t>Savant Explorations</t>
  </si>
  <si>
    <t>Cachinal</t>
  </si>
  <si>
    <t>Chile</t>
  </si>
  <si>
    <t>Apogee Minerals, Valencia Ventures</t>
  </si>
  <si>
    <t>Tech Rep (2010-04)</t>
  </si>
  <si>
    <t>El Toqui</t>
  </si>
  <si>
    <t>Manto</t>
  </si>
  <si>
    <t>Porphyry-IOCG?</t>
  </si>
  <si>
    <t>Minera Florida</t>
  </si>
  <si>
    <t>Yamana Gold</t>
  </si>
  <si>
    <t>Paguanta-Patricia</t>
  </si>
  <si>
    <t>Herencia Resources</t>
  </si>
  <si>
    <t>Vallecillo-La Colorada</t>
  </si>
  <si>
    <t>Cu-Au-Ag-Zn</t>
  </si>
  <si>
    <t>Metminco</t>
  </si>
  <si>
    <t>Website (2016-06-25)</t>
  </si>
  <si>
    <t>Aerhada</t>
  </si>
  <si>
    <t>China</t>
  </si>
  <si>
    <t>Shanjinaerhada Mining</t>
  </si>
  <si>
    <t>ILZSG database (2016-03-02)</t>
  </si>
  <si>
    <t>Baiyinnour</t>
  </si>
  <si>
    <t>Chifeng Nonferrous Metals Corp</t>
  </si>
  <si>
    <t>ILZSG database; CNMI website</t>
  </si>
  <si>
    <t>Beiya</t>
  </si>
  <si>
    <t>Yunnan Gold Mining Group?</t>
  </si>
  <si>
    <t>Zhou et al (2016)</t>
  </si>
  <si>
    <t>BYP</t>
  </si>
  <si>
    <t>Silvercorp Metals</t>
  </si>
  <si>
    <t>Caijiaying</t>
  </si>
  <si>
    <t>Griffin Mining</t>
  </si>
  <si>
    <t>Changba-Lijiagou</t>
  </si>
  <si>
    <t>Baiyin Nonferrous</t>
  </si>
  <si>
    <t>ILZSG database (2016-07-12)</t>
  </si>
  <si>
    <t>Dakuangshan</t>
  </si>
  <si>
    <t>China Polymetallic Mining</t>
  </si>
  <si>
    <t>Fuwan-Changkeng</t>
  </si>
  <si>
    <t>Huangshaping</t>
  </si>
  <si>
    <t>Li et al (2016)</t>
  </si>
  <si>
    <t>Huayuan Fenghuang</t>
  </si>
  <si>
    <t>Inner Mongolia Sanguikou</t>
  </si>
  <si>
    <t>Zijin Mining</t>
  </si>
  <si>
    <t>Jiama</t>
  </si>
  <si>
    <t>Porphyry with skarn</t>
  </si>
  <si>
    <t>China Gold International Resources Corp</t>
  </si>
  <si>
    <t>Jiawula</t>
  </si>
  <si>
    <t>Naneco Minerals, Vina Mineral Res, Hullunbeir</t>
  </si>
  <si>
    <t>Liziping</t>
  </si>
  <si>
    <t>Menghu</t>
  </si>
  <si>
    <t>Mengya</t>
  </si>
  <si>
    <t>MCC</t>
  </si>
  <si>
    <t>Nonggeshan</t>
  </si>
  <si>
    <t>MCC JV</t>
  </si>
  <si>
    <t>Tech Rep (2009-07)</t>
  </si>
  <si>
    <t>Qiandongshan</t>
  </si>
  <si>
    <t>Marshall Minerals, CNMI, Quinsun</t>
  </si>
  <si>
    <t>Qinghai Deerni</t>
  </si>
  <si>
    <t>Shizishan</t>
  </si>
  <si>
    <t>Xietongmen</t>
  </si>
  <si>
    <t>Continental Minerals</t>
  </si>
  <si>
    <t>Xinjiang Ashele</t>
  </si>
  <si>
    <t>Xinjiang Wulugentashi</t>
  </si>
  <si>
    <t>Ying Group</t>
  </si>
  <si>
    <t>with Orogenic Au</t>
  </si>
  <si>
    <t>Tech Rep (2014-07)</t>
  </si>
  <si>
    <t>Berlin</t>
  </si>
  <si>
    <t>Columbia</t>
  </si>
  <si>
    <t>Sediment-hosted mixed</t>
  </si>
  <si>
    <t>U3O8 Corp</t>
  </si>
  <si>
    <t>MDA 2011</t>
  </si>
  <si>
    <t>Matahambre</t>
  </si>
  <si>
    <t>Cuba</t>
  </si>
  <si>
    <t>Victoria</t>
  </si>
  <si>
    <t>Russell et al (undated)</t>
  </si>
  <si>
    <t>Santa Lucia Castellanos</t>
  </si>
  <si>
    <t>Trafigura</t>
  </si>
  <si>
    <t>Kipushi</t>
  </si>
  <si>
    <t>Dem. Rep. Congo</t>
  </si>
  <si>
    <t>Ivanhoe Mines</t>
  </si>
  <si>
    <t>Tech Rep (2012-09)</t>
  </si>
  <si>
    <r>
      <rPr>
        <sz val="10"/>
        <color rgb="FF000000"/>
        <rFont val="Arial"/>
        <family val="2"/>
      </rPr>
      <t xml:space="preserve">Sable Zinc Kabwe </t>
    </r>
    <r>
      <rPr>
        <b/>
        <sz val="10"/>
        <color rgb="FFFF0000"/>
        <rFont val="Arial"/>
        <family val="2"/>
      </rPr>
      <t>Tailings</t>
    </r>
  </si>
  <si>
    <r>
      <rPr>
        <sz val="10"/>
        <color rgb="FF000000"/>
        <rFont val="Arial"/>
        <family val="2"/>
      </rPr>
      <t xml:space="preserve">Sediment-hosted Pb-Zn </t>
    </r>
    <r>
      <rPr>
        <b/>
        <sz val="10"/>
        <color rgb="FFFF0000"/>
        <rFont val="Arial"/>
        <family val="2"/>
      </rPr>
      <t>Tailings</t>
    </r>
  </si>
  <si>
    <t>formerly Metorex</t>
  </si>
  <si>
    <t>Ann Rep 2010</t>
  </si>
  <si>
    <t>Bayaguana Group</t>
  </si>
  <si>
    <t>Dom. Rep.</t>
  </si>
  <si>
    <t>Perilya</t>
  </si>
  <si>
    <t>Tech Rep (2006-01)</t>
  </si>
  <si>
    <t>Cerro de Maimón</t>
  </si>
  <si>
    <t>Las Animas</t>
  </si>
  <si>
    <t>GoldQuest Mining Corp</t>
  </si>
  <si>
    <t>Romero-Romero South</t>
  </si>
  <si>
    <t>Intermediate sulfidation</t>
  </si>
  <si>
    <t>Curipamba-El Domo</t>
  </si>
  <si>
    <t>Ecuador</t>
  </si>
  <si>
    <t>Salazar Resources</t>
  </si>
  <si>
    <t>Abu Marawat</t>
  </si>
  <si>
    <t>Egypt</t>
  </si>
  <si>
    <t>Alexander Nubia</t>
  </si>
  <si>
    <t>Umm Gheig</t>
  </si>
  <si>
    <t>Asmara-Adi Nefas</t>
  </si>
  <si>
    <t>Eritrea</t>
  </si>
  <si>
    <t>Sunridge Gold Corp</t>
  </si>
  <si>
    <t>Asmara-Debarwa</t>
  </si>
  <si>
    <t>Asmara-Emba Derho</t>
  </si>
  <si>
    <t>Bisha</t>
  </si>
  <si>
    <t>Nevsun Resources</t>
  </si>
  <si>
    <t>Hambok</t>
  </si>
  <si>
    <t>Harena</t>
  </si>
  <si>
    <t>Northwest</t>
  </si>
  <si>
    <t>Huatalampi</t>
  </si>
  <si>
    <t>Finland</t>
  </si>
  <si>
    <t>Altona Mining</t>
  </si>
  <si>
    <t>Kainuu-Rautavaara</t>
  </si>
  <si>
    <t>FinnAust Mining (Magnus Minerals-Western Areas)</t>
  </si>
  <si>
    <t>Kettukumpu</t>
  </si>
  <si>
    <t>Geol Survey Finland</t>
  </si>
  <si>
    <t>Kylylahti</t>
  </si>
  <si>
    <t>Perttilahti</t>
  </si>
  <si>
    <t>Pyhäsalmi</t>
  </si>
  <si>
    <t>First Quantum</t>
  </si>
  <si>
    <t>Rauhala</t>
  </si>
  <si>
    <t>Rautavaara</t>
  </si>
  <si>
    <t>FinnAust Mining (formerly Western Areas, Magnus Minerals)</t>
  </si>
  <si>
    <t>Website (10-01-2013) (FinnAust Mining)</t>
  </si>
  <si>
    <t>Riihilahti</t>
  </si>
  <si>
    <t>Saramäki</t>
  </si>
  <si>
    <t>Sykäräinen</t>
  </si>
  <si>
    <t>Talvivaara (Kolmisoppi/Kuusilampi)</t>
  </si>
  <si>
    <t>Talvivaara</t>
  </si>
  <si>
    <t>Vuonos</t>
  </si>
  <si>
    <t>Arrens</t>
  </si>
  <si>
    <t>France</t>
  </si>
  <si>
    <t>Trèves</t>
  </si>
  <si>
    <t>Amtkeli</t>
  </si>
  <si>
    <t>Georgia</t>
  </si>
  <si>
    <t>NATO Sci 2002 v17</t>
  </si>
  <si>
    <t>Brdzyshra</t>
  </si>
  <si>
    <t>Dambludi</t>
  </si>
  <si>
    <t>High sulphidation</t>
  </si>
  <si>
    <t>David Garedji</t>
  </si>
  <si>
    <t>Kvaisi</t>
  </si>
  <si>
    <t>Madneuli</t>
  </si>
  <si>
    <t>NATO Sci 2002 v17; Migineishvili 2005</t>
  </si>
  <si>
    <t>Merisi Group</t>
  </si>
  <si>
    <t>Razdarankom</t>
  </si>
  <si>
    <t>Rtskhmeluri</t>
  </si>
  <si>
    <t>Skatykom</t>
  </si>
  <si>
    <t>Zeshko</t>
  </si>
  <si>
    <t>May also be Sedex?</t>
  </si>
  <si>
    <t>Tellerhäuser</t>
  </si>
  <si>
    <t>Germany</t>
  </si>
  <si>
    <t>Anglo Saxony Mining</t>
  </si>
  <si>
    <t>Website (2015-12-28)</t>
  </si>
  <si>
    <t>Geyer Southwest</t>
  </si>
  <si>
    <t>Tin International (Deutchse Rohstoff)</t>
  </si>
  <si>
    <t>Olympias</t>
  </si>
  <si>
    <t>Greece</t>
  </si>
  <si>
    <t>Eldorado Gold</t>
  </si>
  <si>
    <t>Form-40F 2013</t>
  </si>
  <si>
    <t>Stratoni</t>
  </si>
  <si>
    <t>Ark</t>
  </si>
  <si>
    <t>Greenland</t>
  </si>
  <si>
    <t>Angel Mining</t>
  </si>
  <si>
    <t>Conf. Pres. 2011-11</t>
  </si>
  <si>
    <t>Black Angel</t>
  </si>
  <si>
    <t>Blyklippen</t>
  </si>
  <si>
    <t>Thomassen (2005)</t>
  </si>
  <si>
    <t>Citronen</t>
  </si>
  <si>
    <t>Ann Rep 2013-14</t>
  </si>
  <si>
    <t>Kvanefjeld</t>
  </si>
  <si>
    <t>Magmatic Alkaline Intrusive</t>
  </si>
  <si>
    <t>Layered alkaline complex</t>
  </si>
  <si>
    <t>Greenland Energy &amp; Minerals</t>
  </si>
  <si>
    <t>Nunngarut</t>
  </si>
  <si>
    <t>South Lakes</t>
  </si>
  <si>
    <t>Holly-Banderas (HB)-Escobal</t>
  </si>
  <si>
    <t>Guatemala</t>
  </si>
  <si>
    <t>Radius Gold</t>
  </si>
  <si>
    <t>Torlon Hill</t>
  </si>
  <si>
    <t xml:space="preserve">Oxide Zinc - IOCG? </t>
  </si>
  <si>
    <t>Firestone Ventures</t>
  </si>
  <si>
    <t>El Mochito</t>
  </si>
  <si>
    <t>Honduras</t>
  </si>
  <si>
    <t>Ajari</t>
  </si>
  <si>
    <t>India</t>
  </si>
  <si>
    <t>Indo Gold</t>
  </si>
  <si>
    <t>Ambaji</t>
  </si>
  <si>
    <t>RBG Minerals (Binani Industries)</t>
  </si>
  <si>
    <t>Ambamata</t>
  </si>
  <si>
    <t>Askot</t>
  </si>
  <si>
    <t>Pebble Creek Mining</t>
  </si>
  <si>
    <t>Bajta Central</t>
  </si>
  <si>
    <t>Ballaria</t>
  </si>
  <si>
    <t>Bamnai Kalan</t>
  </si>
  <si>
    <t>Hindustan Zinc / Vedanta</t>
  </si>
  <si>
    <t>Baroi</t>
  </si>
  <si>
    <t>Basantgarh</t>
  </si>
  <si>
    <t>Bethumni</t>
  </si>
  <si>
    <t>Bhilwara</t>
  </si>
  <si>
    <t>IMYB 2013</t>
  </si>
  <si>
    <t>Danva</t>
  </si>
  <si>
    <t>Deri</t>
  </si>
  <si>
    <t>Devpura</t>
  </si>
  <si>
    <t>Ganeshpura</t>
  </si>
  <si>
    <t>Gorubathan</t>
  </si>
  <si>
    <t>Kalabar</t>
  </si>
  <si>
    <t>Kankariya</t>
  </si>
  <si>
    <t>Kayad</t>
  </si>
  <si>
    <t>Kolari</t>
  </si>
  <si>
    <t>Madarpura</t>
  </si>
  <si>
    <t>Mochia</t>
  </si>
  <si>
    <t>Mokanpura North</t>
  </si>
  <si>
    <t>Paduna North Block</t>
  </si>
  <si>
    <t>Pipela</t>
  </si>
  <si>
    <t>Rajpura Dariba</t>
  </si>
  <si>
    <t>Rampura Agucha</t>
  </si>
  <si>
    <t>Rangpo</t>
  </si>
  <si>
    <t>Rewara</t>
  </si>
  <si>
    <t>Saladipura</t>
  </si>
  <si>
    <t>Samodi</t>
  </si>
  <si>
    <t>Sargipali</t>
  </si>
  <si>
    <t>Sawar</t>
  </si>
  <si>
    <t>Sindesar Khurd</t>
  </si>
  <si>
    <t>South Dedwas</t>
  </si>
  <si>
    <t>Tikhi</t>
  </si>
  <si>
    <t>Tiranga</t>
  </si>
  <si>
    <t>Zawar</t>
  </si>
  <si>
    <t>Dairi-Anjing Hitam</t>
  </si>
  <si>
    <t>Indonesia</t>
  </si>
  <si>
    <t>Bumi Resources, PT Antam</t>
  </si>
  <si>
    <t>Dairi-Base Camp</t>
  </si>
  <si>
    <t>Dairi-Lae Jahe</t>
  </si>
  <si>
    <t>Atlantis II</t>
  </si>
  <si>
    <t>International</t>
  </si>
  <si>
    <t>Seafloor Massive sulfide</t>
  </si>
  <si>
    <t>Diamond Fields International</t>
  </si>
  <si>
    <t>Website (2016-07-14)</t>
  </si>
  <si>
    <t>Angouran</t>
  </si>
  <si>
    <t>Iran</t>
  </si>
  <si>
    <t>IMIDRO</t>
  </si>
  <si>
    <t>Daliran et al 2013</t>
  </si>
  <si>
    <t>Anjireh-Vejin</t>
  </si>
  <si>
    <t>Emarat</t>
  </si>
  <si>
    <t>Ehya et al 2010</t>
  </si>
  <si>
    <t>Heyder Abad</t>
  </si>
  <si>
    <t>Bazargani-Guilani et al 2011</t>
  </si>
  <si>
    <t>Irankuh</t>
  </si>
  <si>
    <t>Kuh-e-Surmeh</t>
  </si>
  <si>
    <t>Kushk</t>
  </si>
  <si>
    <t>Mehdiabad</t>
  </si>
  <si>
    <t>Sedex/MVT?</t>
  </si>
  <si>
    <t>Mawarid Mining</t>
  </si>
  <si>
    <t>Ann Rep 2012 (UCL Res.)</t>
  </si>
  <si>
    <t>Nakhlak</t>
  </si>
  <si>
    <t>Jazi et al (2016)</t>
  </si>
  <si>
    <t>Reza Barak</t>
  </si>
  <si>
    <t>Allenwood West</t>
  </si>
  <si>
    <t>Ireland</t>
  </si>
  <si>
    <t>Tech Rep 2010 (Rathdowney Res.)</t>
  </si>
  <si>
    <t>Ballinalack</t>
  </si>
  <si>
    <t>Ireland Gov't Top 55 brochure</t>
  </si>
  <si>
    <t>Courtbrown</t>
  </si>
  <si>
    <t>Garrycam</t>
  </si>
  <si>
    <t>Harberton Bridge</t>
  </si>
  <si>
    <t>Keel</t>
  </si>
  <si>
    <t>Lisheen</t>
  </si>
  <si>
    <t>Vedanta</t>
  </si>
  <si>
    <t>Moyvoughly</t>
  </si>
  <si>
    <t>Oldcastle</t>
  </si>
  <si>
    <t>Pallas Green</t>
  </si>
  <si>
    <t>Rickardstown</t>
  </si>
  <si>
    <t>Silvermines</t>
  </si>
  <si>
    <t>Tara (Navan)</t>
  </si>
  <si>
    <t>Boliden</t>
  </si>
  <si>
    <t>Tatestown</t>
  </si>
  <si>
    <t>Alaigyr (Alaigir)</t>
  </si>
  <si>
    <t>Kazakhstan</t>
  </si>
  <si>
    <t>Tau-Ken Samruk, Radington Industrial Consulting</t>
  </si>
  <si>
    <t>Central Region (formerly Karaganda)</t>
  </si>
  <si>
    <t>Porphyry and VMS deposits</t>
  </si>
  <si>
    <t>Kazakhmys (now KAZ Minerals)</t>
  </si>
  <si>
    <r>
      <rPr>
        <sz val="10"/>
        <color rgb="FF000000"/>
        <rFont val="Arial"/>
        <family val="2"/>
      </rPr>
      <t xml:space="preserve">Chashinskoye </t>
    </r>
    <r>
      <rPr>
        <b/>
        <sz val="10"/>
        <color rgb="FFFF0000"/>
        <rFont val="Arial"/>
        <family val="2"/>
      </rPr>
      <t>Tailings</t>
    </r>
  </si>
  <si>
    <r>
      <rPr>
        <sz val="10"/>
        <color rgb="FFFF0000"/>
        <rFont val="Arial"/>
        <family val="2"/>
      </rPr>
      <t xml:space="preserve">VMS? </t>
    </r>
    <r>
      <rPr>
        <b/>
        <sz val="10"/>
        <color rgb="FFFF0000"/>
        <rFont val="Arial"/>
        <family val="2"/>
      </rPr>
      <t>Tailings</t>
    </r>
  </si>
  <si>
    <t>Glencore Xstrata / KazZinc</t>
  </si>
  <si>
    <t>Dolinnoe</t>
  </si>
  <si>
    <t>East Region</t>
  </si>
  <si>
    <t>Maleevsky</t>
  </si>
  <si>
    <t>Novo-Leninogorskoye</t>
  </si>
  <si>
    <t>Obruchevskoe</t>
  </si>
  <si>
    <t>Ridder-Sokolny</t>
  </si>
  <si>
    <r>
      <rPr>
        <sz val="10"/>
        <color rgb="FF000000"/>
        <rFont val="Arial"/>
        <family val="2"/>
      </rPr>
      <t xml:space="preserve">Shaimerden </t>
    </r>
    <r>
      <rPr>
        <b/>
        <sz val="10"/>
        <color rgb="FFFF0000"/>
        <rFont val="Arial"/>
        <family val="2"/>
      </rPr>
      <t>Stockpile</t>
    </r>
  </si>
  <si>
    <t>Non-sulfide Zinc</t>
  </si>
  <si>
    <t>SC</t>
  </si>
  <si>
    <t>Shalkiya</t>
  </si>
  <si>
    <t>ShalkiyaZinc</t>
  </si>
  <si>
    <t>Website (2014-10-26; translated)</t>
  </si>
  <si>
    <t>Shubinsky</t>
  </si>
  <si>
    <r>
      <rPr>
        <sz val="10"/>
        <color rgb="FF000000"/>
        <rFont val="Arial"/>
        <family val="2"/>
      </rPr>
      <t xml:space="preserve">Staroye </t>
    </r>
    <r>
      <rPr>
        <b/>
        <sz val="10"/>
        <color rgb="FFFF0000"/>
        <rFont val="Arial"/>
        <family val="2"/>
      </rPr>
      <t>Tailings</t>
    </r>
  </si>
  <si>
    <t>Talap</t>
  </si>
  <si>
    <t>Tishinksy</t>
  </si>
  <si>
    <r>
      <rPr>
        <sz val="10"/>
        <color rgb="FF000000"/>
        <rFont val="Arial"/>
        <family val="2"/>
      </rPr>
      <t xml:space="preserve">Tishinsky </t>
    </r>
    <r>
      <rPr>
        <b/>
        <sz val="10"/>
        <color rgb="FFFF0000"/>
        <rFont val="Arial"/>
        <family val="2"/>
      </rPr>
      <t>Tailings</t>
    </r>
  </si>
  <si>
    <t>Ann Rep 2012 (note: not reported in 2013)</t>
  </si>
  <si>
    <t>Zhairem</t>
  </si>
  <si>
    <t>Bumbo</t>
  </si>
  <si>
    <t>Kenya</t>
  </si>
  <si>
    <t>African Barrick Gold-51%, Lonmin-49%</t>
  </si>
  <si>
    <t>Ann Rep 2012 (Aviva Corp)</t>
  </si>
  <si>
    <t>Boz Emchek</t>
  </si>
  <si>
    <t>Kyrgyzstan</t>
  </si>
  <si>
    <t>data Kyrgyz Investment Group</t>
  </si>
  <si>
    <t>Mironovskoye</t>
  </si>
  <si>
    <t>Chaarat Gold Holdings</t>
  </si>
  <si>
    <t>Kasi</t>
  </si>
  <si>
    <t>Laos</t>
  </si>
  <si>
    <t>Padaeng Industries</t>
  </si>
  <si>
    <t>Lamphun</t>
  </si>
  <si>
    <t>Angangueo</t>
  </si>
  <si>
    <t>Mexico</t>
  </si>
  <si>
    <t>High to intermediate sulfidation</t>
  </si>
  <si>
    <t>Southern Copper Corp (Grupo Mexico)</t>
  </si>
  <si>
    <t>Form 10K 2013</t>
  </si>
  <si>
    <t>Bahuerachi</t>
  </si>
  <si>
    <t>Porphyry-Skarn</t>
  </si>
  <si>
    <t>Jinchuan</t>
  </si>
  <si>
    <t>Tech Rep (2007-11; Tyler Res.)</t>
  </si>
  <si>
    <t>Bilbao</t>
  </si>
  <si>
    <t>Xtierra</t>
  </si>
  <si>
    <t>Bismark</t>
  </si>
  <si>
    <t>Peñoles Group</t>
  </si>
  <si>
    <t>Boleo</t>
  </si>
  <si>
    <t>Baja Mining, KORES</t>
  </si>
  <si>
    <t>Tech Rep 2010-03</t>
  </si>
  <si>
    <t>Bolivar Group</t>
  </si>
  <si>
    <t>Sierra Metals (formerly Dia Bras Expl'n)</t>
  </si>
  <si>
    <t>Buenavista Zinc</t>
  </si>
  <si>
    <t>Grupo Mexico / SCC</t>
  </si>
  <si>
    <t>Camino Rojo</t>
  </si>
  <si>
    <t>Goldcorp</t>
  </si>
  <si>
    <t>Campo Morado Group</t>
  </si>
  <si>
    <t>Capire-Aurora 1</t>
  </si>
  <si>
    <t>Impact Silver Corp</t>
  </si>
  <si>
    <t>Tech Rep (2011-01)</t>
  </si>
  <si>
    <t>Cerro Prieto</t>
  </si>
  <si>
    <t>overprints mesothermal mineralisation</t>
  </si>
  <si>
    <t>Goldgroup Mining</t>
  </si>
  <si>
    <t>Chalchihuites</t>
  </si>
  <si>
    <t>Cieneguita</t>
  </si>
  <si>
    <t>Pan American Goldfields</t>
  </si>
  <si>
    <t>Cinco de Mayo (Upper Manto)</t>
  </si>
  <si>
    <t>MAG Silver Corp</t>
  </si>
  <si>
    <t>Tech Rep (2012-11)</t>
  </si>
  <si>
    <t>Cordero</t>
  </si>
  <si>
    <t>Levon Resources</t>
  </si>
  <si>
    <t>Tech Rep (2014-10)</t>
  </si>
  <si>
    <t>Cozamin Group</t>
  </si>
  <si>
    <t>Epithermal-Mesothermal</t>
  </si>
  <si>
    <t>Intermediate sulfidation?</t>
  </si>
  <si>
    <t>Cusi Group</t>
  </si>
  <si>
    <t>Del Toro</t>
  </si>
  <si>
    <t>First Majestic Silver Corp</t>
  </si>
  <si>
    <r>
      <rPr>
        <sz val="10"/>
        <color rgb="FF000000"/>
        <rFont val="Arial"/>
        <family val="2"/>
      </rPr>
      <t xml:space="preserve">El Tecolote (Reyna del Cobre) </t>
    </r>
    <r>
      <rPr>
        <b/>
        <sz val="10"/>
        <color rgb="FFFF0000"/>
        <rFont val="Arial"/>
        <family val="2"/>
      </rPr>
      <t>Tailings</t>
    </r>
  </si>
  <si>
    <r>
      <rPr>
        <sz val="10"/>
        <color rgb="FFFF0000"/>
        <rFont val="Arial"/>
        <family val="2"/>
      </rPr>
      <t xml:space="preserve">Skarn </t>
    </r>
    <r>
      <rPr>
        <b/>
        <sz val="10"/>
        <color rgb="FFFF0000"/>
        <rFont val="Arial"/>
        <family val="2"/>
      </rPr>
      <t>Tailings</t>
    </r>
  </si>
  <si>
    <t>TNC</t>
  </si>
  <si>
    <t>Azure Minerals</t>
  </si>
  <si>
    <t>Website (2015-02-24)</t>
  </si>
  <si>
    <t>Francisco I Madero</t>
  </si>
  <si>
    <t>Fresnillo-San Julián</t>
  </si>
  <si>
    <t>Fresnillo</t>
  </si>
  <si>
    <t>La Arista-El Aguila</t>
  </si>
  <si>
    <t>Gold Resource Corp</t>
  </si>
  <si>
    <t>La Colorada</t>
  </si>
  <si>
    <t>La Encantada</t>
  </si>
  <si>
    <r>
      <rPr>
        <sz val="10"/>
        <color rgb="FF000000"/>
        <rFont val="Arial"/>
        <family val="2"/>
      </rPr>
      <t xml:space="preserve">La Encantada </t>
    </r>
    <r>
      <rPr>
        <b/>
        <sz val="10"/>
        <color rgb="FFFF0000"/>
        <rFont val="Arial"/>
        <family val="2"/>
      </rPr>
      <t>Tailings</t>
    </r>
  </si>
  <si>
    <t>La Frazada</t>
  </si>
  <si>
    <t>Tech Rep (2009-01)</t>
  </si>
  <si>
    <t>La Negra</t>
  </si>
  <si>
    <t>Aurcana Corp</t>
  </si>
  <si>
    <t>La Parilla</t>
  </si>
  <si>
    <t>Los Gatos</t>
  </si>
  <si>
    <t>Sunshine Silver Mines</t>
  </si>
  <si>
    <t>Tech Rep (2012-12)</t>
  </si>
  <si>
    <t>Metates</t>
  </si>
  <si>
    <t>Chesapeake Gold Corp</t>
  </si>
  <si>
    <t>Miguel Auza</t>
  </si>
  <si>
    <t>High and low sulphidation</t>
  </si>
  <si>
    <t>Excellon Resources</t>
  </si>
  <si>
    <t>Minera Ciénega</t>
  </si>
  <si>
    <t>Minera Fresnillo (underground)</t>
  </si>
  <si>
    <t>Minera Juanicipio</t>
  </si>
  <si>
    <t>Fresnillo-56%, MAG Silver Corp-44%</t>
  </si>
  <si>
    <t>Ann Rep 2013 (Fresnillo)</t>
  </si>
  <si>
    <t>Minera Parreña-Guachichil</t>
  </si>
  <si>
    <t>Minera Parreña-Leones</t>
  </si>
  <si>
    <t>Minera Parreña-Lucerito</t>
  </si>
  <si>
    <t>Minera Saucito</t>
  </si>
  <si>
    <t>Naica</t>
  </si>
  <si>
    <t>Namiquipa</t>
  </si>
  <si>
    <t>Low/Intermediate sulfidation</t>
  </si>
  <si>
    <t>Santana Minerals</t>
  </si>
  <si>
    <t>Nuestra Señora</t>
  </si>
  <si>
    <t>Scorpio Mining Corp</t>
  </si>
  <si>
    <t>Peñasquito (mill)</t>
  </si>
  <si>
    <t>Pitarrilla</t>
  </si>
  <si>
    <t>Platosa</t>
  </si>
  <si>
    <t>Manto/Skarn/Epithermal?</t>
  </si>
  <si>
    <t>Tech Rep (2011-11)</t>
  </si>
  <si>
    <t>Plomosas (Rosario-San Juan)</t>
  </si>
  <si>
    <t>Rey de Plata</t>
  </si>
  <si>
    <t>Industrias Penoles</t>
  </si>
  <si>
    <t>Ann Rep 2013; ILZSG database (2016-07-12)</t>
  </si>
  <si>
    <t>Rosario</t>
  </si>
  <si>
    <t>Santacruz Silver Mining</t>
  </si>
  <si>
    <t>Sabinas</t>
  </si>
  <si>
    <t>San Agustín</t>
  </si>
  <si>
    <t>Argonaut Gold</t>
  </si>
  <si>
    <t>ResV-ResC 2012 (Silver Std)</t>
  </si>
  <si>
    <t>San Felipe (Hochschild)</t>
  </si>
  <si>
    <t>Hochschild Mining</t>
  </si>
  <si>
    <t>San Felipe (Santacruz)</t>
  </si>
  <si>
    <t>San José</t>
  </si>
  <si>
    <t>Arian Silver Corp</t>
  </si>
  <si>
    <t>San José de Gracia</t>
  </si>
  <si>
    <t>San Marcial</t>
  </si>
  <si>
    <t>San Martin (Pb-Zn-Ag-Au only)</t>
  </si>
  <si>
    <t>San Nicolas</t>
  </si>
  <si>
    <t>Teck-79%, Goldcorp-21%</t>
  </si>
  <si>
    <t>Ann Rep 2013 (Goldcorp)</t>
  </si>
  <si>
    <t>San Rafael</t>
  </si>
  <si>
    <t>San Sebastian</t>
  </si>
  <si>
    <t>Hecla Mining</t>
  </si>
  <si>
    <t>Sierra Mojada</t>
  </si>
  <si>
    <t>Silver Bull Resources</t>
  </si>
  <si>
    <t>Tech (2013-12)</t>
  </si>
  <si>
    <t>SCC-IMMSA Group (Charcas-Santa Barbara-San Martin-Santa Eulalia-Taxco)</t>
  </si>
  <si>
    <t>Epithermal-Skarn</t>
  </si>
  <si>
    <t>Skarn may be dominant?</t>
  </si>
  <si>
    <t>Terrazas</t>
  </si>
  <si>
    <t>IOCG?</t>
  </si>
  <si>
    <t>Constellation Cu Corp (bankrupt)</t>
  </si>
  <si>
    <t>Tizapa</t>
  </si>
  <si>
    <t>Topia</t>
  </si>
  <si>
    <t>Great Panther Silver</t>
  </si>
  <si>
    <t>Velardeña (Peñoles)</t>
  </si>
  <si>
    <t>Velardeña-Chicago (GM)</t>
  </si>
  <si>
    <t>Golden Minerals</t>
  </si>
  <si>
    <t>Brskovo</t>
  </si>
  <si>
    <t>Montenegro</t>
  </si>
  <si>
    <t>Balamara Resources</t>
  </si>
  <si>
    <t>Visnjica</t>
  </si>
  <si>
    <t>Zuta Prla</t>
  </si>
  <si>
    <t>Boumadine</t>
  </si>
  <si>
    <t>Morocco</t>
  </si>
  <si>
    <t>Low-sulfidation</t>
  </si>
  <si>
    <t>Maya Gold &amp; Silver</t>
  </si>
  <si>
    <t>Hajar</t>
  </si>
  <si>
    <t>Compagnie Minière des Guemassa</t>
  </si>
  <si>
    <t>USGS MYB 2010 Morocco</t>
  </si>
  <si>
    <t>Tighza</t>
  </si>
  <si>
    <t>Compagnie Minière de Touissit</t>
  </si>
  <si>
    <t>CMT Media (2014-05-29)</t>
  </si>
  <si>
    <t>Berg Aukus</t>
  </si>
  <si>
    <t>Namibia</t>
  </si>
  <si>
    <t>China Africa Resources</t>
  </si>
  <si>
    <t>Gergarub</t>
  </si>
  <si>
    <t>Vedanta, Glencore</t>
  </si>
  <si>
    <t>Namib</t>
  </si>
  <si>
    <t>North River Resources</t>
  </si>
  <si>
    <r>
      <rPr>
        <sz val="10"/>
        <color rgb="FF000000"/>
        <rFont val="Arial"/>
        <family val="2"/>
      </rPr>
      <t xml:space="preserve">Namib </t>
    </r>
    <r>
      <rPr>
        <b/>
        <sz val="10"/>
        <color rgb="FFFF0000"/>
        <rFont val="Arial"/>
        <family val="2"/>
      </rPr>
      <t>Tailings</t>
    </r>
  </si>
  <si>
    <r>
      <rPr>
        <sz val="10"/>
        <color rgb="FFFF0000"/>
        <rFont val="Arial"/>
        <family val="2"/>
      </rPr>
      <t xml:space="preserve">Sediment-hosted Pb-Zn </t>
    </r>
    <r>
      <rPr>
        <b/>
        <sz val="10"/>
        <color rgb="FFFF0000"/>
        <rFont val="Arial"/>
        <family val="2"/>
      </rPr>
      <t>Tailings</t>
    </r>
  </si>
  <si>
    <t>Rosh Pinah</t>
  </si>
  <si>
    <t>Skorpion</t>
  </si>
  <si>
    <t>Tsongoari</t>
  </si>
  <si>
    <t>Gauert (2005)</t>
  </si>
  <si>
    <r>
      <rPr>
        <sz val="10"/>
        <color rgb="FF000000"/>
        <rFont val="Arial"/>
        <family val="2"/>
      </rPr>
      <t xml:space="preserve">Tsumeb </t>
    </r>
    <r>
      <rPr>
        <b/>
        <sz val="10"/>
        <color rgb="FFFF0000"/>
        <rFont val="Arial"/>
        <family val="2"/>
      </rPr>
      <t>Tailings</t>
    </r>
  </si>
  <si>
    <t>Weatherly International</t>
  </si>
  <si>
    <t>Ganesh Himal-Lari I</t>
  </si>
  <si>
    <t>Nepal</t>
  </si>
  <si>
    <t>Baharani et al 2008</t>
  </si>
  <si>
    <t>Ganesh Himal-Suple</t>
  </si>
  <si>
    <t>Hysean</t>
  </si>
  <si>
    <t>North Korea</t>
  </si>
  <si>
    <t>DPRK Government</t>
  </si>
  <si>
    <t>Kyung-soo (2011)</t>
  </si>
  <si>
    <t>Goemdok (Gumdock)</t>
  </si>
  <si>
    <t>Duddar</t>
  </si>
  <si>
    <t>Pakistan</t>
  </si>
  <si>
    <t>Gunga (Khuzdar)</t>
  </si>
  <si>
    <t>Accha (AZOD)</t>
  </si>
  <si>
    <t>Peru</t>
  </si>
  <si>
    <t>Zincore Metals</t>
  </si>
  <si>
    <t>Alpamarca</t>
  </si>
  <si>
    <t>Manto-Cu</t>
  </si>
  <si>
    <t>Volcan Compania Minera</t>
  </si>
  <si>
    <t>Anamaray</t>
  </si>
  <si>
    <t>Buenaventura</t>
  </si>
  <si>
    <t>AntaKori-Sinchao</t>
  </si>
  <si>
    <t>Southern Legacy Minerals</t>
  </si>
  <si>
    <t>Antamina</t>
  </si>
  <si>
    <t>Porphyry-related</t>
  </si>
  <si>
    <t>BHP Billiton / Glencore Xstrata / Teck</t>
  </si>
  <si>
    <r>
      <rPr>
        <b/>
        <sz val="10"/>
        <color rgb="FFFF0000"/>
        <rFont val="Arial"/>
        <family val="2"/>
      </rPr>
      <t>Glencore Xstrata</t>
    </r>
    <r>
      <rPr>
        <sz val="10"/>
        <color rgb="FF000000"/>
        <rFont val="Arial"/>
        <family val="2"/>
      </rPr>
      <t xml:space="preserve"> Reserves-Resources 2013</t>
    </r>
  </si>
  <si>
    <t>Ariana</t>
  </si>
  <si>
    <t>Southern Peaks Mining</t>
  </si>
  <si>
    <t>Website (2014-12-12)</t>
  </si>
  <si>
    <t>Atacocha</t>
  </si>
  <si>
    <t>Compania Minera Milpo</t>
  </si>
  <si>
    <t>Ayawilca</t>
  </si>
  <si>
    <t>Tinka Resources</t>
  </si>
  <si>
    <t>Tech Rep (2015-03)</t>
  </si>
  <si>
    <t>Bongará-Florida Canyon</t>
  </si>
  <si>
    <t>Solitario Expl. &amp; Royalty Corp., Votorantim Metais</t>
  </si>
  <si>
    <t>Tech Rep (2014-06)</t>
  </si>
  <si>
    <t>Caylloma</t>
  </si>
  <si>
    <t>Fortuna Silver Mines</t>
  </si>
  <si>
    <t>Cerro de Pasco</t>
  </si>
  <si>
    <t>High to intermediate-low sulfidation</t>
  </si>
  <si>
    <t>Cerro Lindo</t>
  </si>
  <si>
    <t>Chungar</t>
  </si>
  <si>
    <t>Contonga</t>
  </si>
  <si>
    <t>Corani</t>
  </si>
  <si>
    <t>Low-to-intermediate sulfidation</t>
  </si>
  <si>
    <t>Bear Creek Mining Corp</t>
  </si>
  <si>
    <t>Tech Rep (2011-12)</t>
  </si>
  <si>
    <t>Coricancha</t>
  </si>
  <si>
    <t>Reserves-Resources 2012 minus 2013 prod'n</t>
  </si>
  <si>
    <t>El Brocal (Colquijirca)</t>
  </si>
  <si>
    <t>El Brocal / Buenaventura</t>
  </si>
  <si>
    <t>Form 20F 2013 (B)</t>
  </si>
  <si>
    <t>El Porvenir</t>
  </si>
  <si>
    <t>Hilarion</t>
  </si>
  <si>
    <t>Huampar</t>
  </si>
  <si>
    <t>Website (2013-10-20)</t>
  </si>
  <si>
    <t>Huaron</t>
  </si>
  <si>
    <t>Invicta</t>
  </si>
  <si>
    <t>Lupaka Gold</t>
  </si>
  <si>
    <t>Iscaycruz</t>
  </si>
  <si>
    <t>Islay</t>
  </si>
  <si>
    <t>Julcani</t>
  </si>
  <si>
    <t>La Granja</t>
  </si>
  <si>
    <t>Cu-Mo</t>
  </si>
  <si>
    <t>Rio Tinto</t>
  </si>
  <si>
    <t>Ann Rep's 2010 &amp; 2013</t>
  </si>
  <si>
    <t>Mallay</t>
  </si>
  <si>
    <t>Morococha</t>
  </si>
  <si>
    <t>?low sulfidation?</t>
  </si>
  <si>
    <t>Oyama</t>
  </si>
  <si>
    <t>Palma</t>
  </si>
  <si>
    <t>Pilarica (Fresnillo Peru)</t>
  </si>
  <si>
    <t>Pucarrajo</t>
  </si>
  <si>
    <t>Reserves-Resources 2012 (2007 data)</t>
  </si>
  <si>
    <t>Quiruvilca</t>
  </si>
  <si>
    <t>Recuperada</t>
  </si>
  <si>
    <t>Rio Pallanga</t>
  </si>
  <si>
    <t>San Gregorio</t>
  </si>
  <si>
    <t>Ann Rep 2013 (EB)</t>
  </si>
  <si>
    <t>San Sebastián</t>
  </si>
  <si>
    <t>Santander (Magistral-Puajanca)</t>
  </si>
  <si>
    <r>
      <rPr>
        <sz val="10"/>
        <color rgb="FF000000"/>
        <rFont val="Arial"/>
        <family val="2"/>
      </rPr>
      <t xml:space="preserve">Santander </t>
    </r>
    <r>
      <rPr>
        <b/>
        <sz val="10"/>
        <color rgb="FFFF0000"/>
        <rFont val="Arial"/>
        <family val="2"/>
      </rPr>
      <t>Tailings</t>
    </r>
  </si>
  <si>
    <r>
      <rPr>
        <sz val="10"/>
        <color rgb="FF000000"/>
        <rFont val="Arial"/>
        <family val="2"/>
      </rPr>
      <t xml:space="preserve">Skarn </t>
    </r>
    <r>
      <rPr>
        <b/>
        <sz val="10"/>
        <color rgb="FFFF0000"/>
        <rFont val="Arial"/>
        <family val="2"/>
      </rPr>
      <t>Tailings</t>
    </r>
  </si>
  <si>
    <t>Tajo Norte-La Llave</t>
  </si>
  <si>
    <t>Tambomayo</t>
  </si>
  <si>
    <t>Uchucchacua (Jancapata, Yumpag)</t>
  </si>
  <si>
    <t>Vinchos</t>
  </si>
  <si>
    <t>Yanque</t>
  </si>
  <si>
    <t>Yauli</t>
  </si>
  <si>
    <t>Yauliyacu</t>
  </si>
  <si>
    <t>Yauricocha</t>
  </si>
  <si>
    <t>Zoraida</t>
  </si>
  <si>
    <t>Canatuan</t>
  </si>
  <si>
    <t>Philippines</t>
  </si>
  <si>
    <t>TVI Pacific</t>
  </si>
  <si>
    <t>Website (2014-01-12)</t>
  </si>
  <si>
    <t>Manat-Magas</t>
  </si>
  <si>
    <t>Alsons Grou-75%, Indophil-25%</t>
  </si>
  <si>
    <t>Ann Rep 2013 (Indophil)</t>
  </si>
  <si>
    <t>Ungay-Malobago (Rapu Rapu)</t>
  </si>
  <si>
    <t>KMP Resources Inc. (?) (formerly Lafayette Mining)</t>
  </si>
  <si>
    <t>Ann Rep 2007 (Lafayette)</t>
  </si>
  <si>
    <t>Nakru</t>
  </si>
  <si>
    <t>PNG</t>
  </si>
  <si>
    <t>Coppermoly</t>
  </si>
  <si>
    <t>Media (2012-07-24)</t>
  </si>
  <si>
    <t>Solwara 1</t>
  </si>
  <si>
    <t>Nautilus Minerals, PNG Gov.</t>
  </si>
  <si>
    <t>Solwara 12</t>
  </si>
  <si>
    <t>Olza (Rokitno, Zawiercie, Chechlo)</t>
  </si>
  <si>
    <t>Poland</t>
  </si>
  <si>
    <t>Rathdowney Resources</t>
  </si>
  <si>
    <t>Aljustrel</t>
  </si>
  <si>
    <t>Portugal</t>
  </si>
  <si>
    <t>Almina-Minas do Alentejo</t>
  </si>
  <si>
    <t>Lagoa Salgada</t>
  </si>
  <si>
    <t>Portex Minerals</t>
  </si>
  <si>
    <t>Tech Rep (2012-01)</t>
  </si>
  <si>
    <t>Neves-Corvo</t>
  </si>
  <si>
    <t>Lundin Mining</t>
  </si>
  <si>
    <t>Cavnic</t>
  </si>
  <si>
    <t>Romania</t>
  </si>
  <si>
    <t>Grancea et al 2002</t>
  </si>
  <si>
    <t>Suior</t>
  </si>
  <si>
    <t>Kouzmanov et al 2005</t>
  </si>
  <si>
    <t>50 Years October</t>
  </si>
  <si>
    <t>Russia</t>
  </si>
  <si>
    <t>Herrington et al, 2005</t>
  </si>
  <si>
    <t>Alexandrinka</t>
  </si>
  <si>
    <t>Bakr Tau</t>
  </si>
  <si>
    <t>Balta Tau</t>
  </si>
  <si>
    <t>Berezitovy</t>
  </si>
  <si>
    <t>Nordgold</t>
  </si>
  <si>
    <t>Ann Rep 2013, ILZSG (2016-07-12)</t>
  </si>
  <si>
    <t>Blyava</t>
  </si>
  <si>
    <t>Buribai</t>
  </si>
  <si>
    <t>Degtyarskoe</t>
  </si>
  <si>
    <t>Gai</t>
  </si>
  <si>
    <t>Goltsovoye</t>
  </si>
  <si>
    <t>Polymetal RU</t>
  </si>
  <si>
    <t>Gorevskoe</t>
  </si>
  <si>
    <t>Leach et al, 2005</t>
  </si>
  <si>
    <t>Goroblagodat</t>
  </si>
  <si>
    <t>Ishkinino</t>
  </si>
  <si>
    <t>Kholodninskoe</t>
  </si>
  <si>
    <t>MBC Corp</t>
  </si>
  <si>
    <t>Website (2015-04-24)</t>
  </si>
  <si>
    <t>Khudesskoye</t>
  </si>
  <si>
    <t>Urals Mining &amp; Metallurgical Co. (UMMC)</t>
  </si>
  <si>
    <t>Komaganskoe</t>
  </si>
  <si>
    <t>Korbalikhinskoye</t>
  </si>
  <si>
    <t>Min Deps Northeast Asia</t>
  </si>
  <si>
    <t>Krasnogvardeyskoe</t>
  </si>
  <si>
    <t>Letnye</t>
  </si>
  <si>
    <t>Limonitovoye</t>
  </si>
  <si>
    <t>Mauk</t>
  </si>
  <si>
    <t>Nazarovskoe</t>
  </si>
  <si>
    <t>Novoshirokinskoye</t>
  </si>
  <si>
    <t>Skarn/Epithermal?</t>
  </si>
  <si>
    <t>Highland Gold</t>
  </si>
  <si>
    <t>Noyon-Tologoisky</t>
  </si>
  <si>
    <t>Baojin Mining (ILZSG db?)</t>
  </si>
  <si>
    <t>Ozernoe (Ozerny)</t>
  </si>
  <si>
    <t>Pavlovskoye</t>
  </si>
  <si>
    <t>Rosatom, Atomredmetzoloto (ARMZ)</t>
  </si>
  <si>
    <t>Perevalnoye</t>
  </si>
  <si>
    <t>Podolskoe</t>
  </si>
  <si>
    <t>Safyanovka</t>
  </si>
  <si>
    <t>Salairskoye</t>
  </si>
  <si>
    <t>Sardana</t>
  </si>
  <si>
    <t>Summa Group</t>
  </si>
  <si>
    <t>Sibay</t>
  </si>
  <si>
    <t>Tarnyerskoe</t>
  </si>
  <si>
    <t>Tuva / Kyzyl-Tash Turk</t>
  </si>
  <si>
    <t>Uchaly</t>
  </si>
  <si>
    <t>Urultun</t>
  </si>
  <si>
    <t>Uzelga</t>
  </si>
  <si>
    <t>Yaman Kasy</t>
  </si>
  <si>
    <t>Yubilenoe (VMS Cu-Zn)</t>
  </si>
  <si>
    <t>Zimnyee</t>
  </si>
  <si>
    <t>Al Masane-Al Kobra (AMAK)</t>
  </si>
  <si>
    <t>Saudi Arabia</t>
  </si>
  <si>
    <t>AMAK, Trecora Res. (formerly Arabian American Devt Co)</t>
  </si>
  <si>
    <t>Tech Rep (2009-09) (Trecora)</t>
  </si>
  <si>
    <t>Jabal Dhaylan</t>
  </si>
  <si>
    <t>Jabal Sayid-Citadel (Lode 1 only)</t>
  </si>
  <si>
    <t>Barrick Gold (formerly Equinox Res.)</t>
  </si>
  <si>
    <t>Ann Rep 2010 (Equinox)</t>
  </si>
  <si>
    <t>Khnaiguiyah (1-2)</t>
  </si>
  <si>
    <t>Alara-50%, United Arabian Mining Company (Manajem)-50%</t>
  </si>
  <si>
    <t>Chadine</t>
  </si>
  <si>
    <t>Serbia</t>
  </si>
  <si>
    <t>Aurasian Minerals</t>
  </si>
  <si>
    <t>Website (2016-05-19)</t>
  </si>
  <si>
    <t>Parlozi</t>
  </si>
  <si>
    <t>Rosita Mining</t>
  </si>
  <si>
    <t>Tenka</t>
  </si>
  <si>
    <t>Armstrong et al (2005)</t>
  </si>
  <si>
    <t>Black Mountain-Deeps/Broken Hill</t>
  </si>
  <si>
    <t>South Africa</t>
  </si>
  <si>
    <t>Black Mountain-Gamsberg</t>
  </si>
  <si>
    <t>Black Mountain-Swartberg</t>
  </si>
  <si>
    <t>Bushy Park</t>
  </si>
  <si>
    <t>Wheatley et al 1986</t>
  </si>
  <si>
    <t>Pering</t>
  </si>
  <si>
    <t>Minéro Zinc</t>
  </si>
  <si>
    <t>Fin. Summary (Pering Base Metals Pty Ltd, 2010-12)</t>
  </si>
  <si>
    <t>Salt River-Graafwater East/West</t>
  </si>
  <si>
    <t>Thabex</t>
  </si>
  <si>
    <t>Salt River-Hartebeest Vlei</t>
  </si>
  <si>
    <t>Salt River-Main</t>
  </si>
  <si>
    <t>Yeonwha 1</t>
  </si>
  <si>
    <t>South Korea</t>
  </si>
  <si>
    <t>Woulfe Mining Corp</t>
  </si>
  <si>
    <t>Website (2014-12-10)</t>
  </si>
  <si>
    <t>Aguas Teñidas</t>
  </si>
  <si>
    <t>Spain</t>
  </si>
  <si>
    <t>Iberian Minerals</t>
  </si>
  <si>
    <t>Tech Rep (2009-09)</t>
  </si>
  <si>
    <t>Cobre Las Cruces</t>
  </si>
  <si>
    <t>Lomero-Poyatos</t>
  </si>
  <si>
    <t>Petaquilla Minerals</t>
  </si>
  <si>
    <t>Masa Valverde</t>
  </si>
  <si>
    <t>Cambridge Mineral Resources</t>
  </si>
  <si>
    <t>Pres. (undated, website 2014-01-12)</t>
  </si>
  <si>
    <t>Santa Barbara</t>
  </si>
  <si>
    <t>Toral</t>
  </si>
  <si>
    <t>Abu Samar</t>
  </si>
  <si>
    <t>Sudan</t>
  </si>
  <si>
    <t>Hassaï</t>
  </si>
  <si>
    <t>Weatherly Investments II (formerly La Mancha)</t>
  </si>
  <si>
    <t>Tech Rep (2012-08; La Mancha)</t>
  </si>
  <si>
    <t>Barsele (Norra)</t>
  </si>
  <si>
    <t>Sweden</t>
  </si>
  <si>
    <t>VMS/Epithermal</t>
  </si>
  <si>
    <t>Orex Minerals</t>
  </si>
  <si>
    <t>Boliden-Kristineberg</t>
  </si>
  <si>
    <t>Boliden-Maurliden</t>
  </si>
  <si>
    <t>Boliden-Maurliden Östra</t>
  </si>
  <si>
    <t>Boliden-Petiknäs N</t>
  </si>
  <si>
    <t>Boliden-Renström</t>
  </si>
  <si>
    <t>Garpenberg</t>
  </si>
  <si>
    <t>Häggån</t>
  </si>
  <si>
    <t>Sediment-hosted Pb-Zn (Shale-hosted)</t>
  </si>
  <si>
    <t>Aura Energy</t>
  </si>
  <si>
    <t>Huornaisenvuoma</t>
  </si>
  <si>
    <t>Rockliden</t>
  </si>
  <si>
    <t>Viken</t>
  </si>
  <si>
    <t>Continental Precious Minerals</t>
  </si>
  <si>
    <t>Viscaria (A-B Zones)</t>
  </si>
  <si>
    <t>Avalon Minerals</t>
  </si>
  <si>
    <t>Media (2011-11-29)</t>
  </si>
  <si>
    <t>Zinkgruven</t>
  </si>
  <si>
    <t>Konimansur Kalon</t>
  </si>
  <si>
    <t>Tajikistan</t>
  </si>
  <si>
    <t>Tajik Gov't</t>
  </si>
  <si>
    <t>Harvest-Terakimti</t>
  </si>
  <si>
    <t>Tanzania</t>
  </si>
  <si>
    <t>East Africa Metals</t>
  </si>
  <si>
    <t>Mae Sod (Padaeng)</t>
  </si>
  <si>
    <t>Thailand</t>
  </si>
  <si>
    <t>Bou Jabeur-Gite de l'Est</t>
  </si>
  <si>
    <t>Tunisia</t>
  </si>
  <si>
    <t>unknown (formerly Maghreb Minerals plc)</t>
  </si>
  <si>
    <t>Maghreb Mins. Pres. (Finex'08), Media 2007-12-13</t>
  </si>
  <si>
    <t>Djebba</t>
  </si>
  <si>
    <t>Ann Report (2007)</t>
  </si>
  <si>
    <t>Fej Lahdoum-Dar N’Hal Nord</t>
  </si>
  <si>
    <t>Media 2007-03-07</t>
  </si>
  <si>
    <t>Kohol</t>
  </si>
  <si>
    <t>Media 2006-12-07</t>
  </si>
  <si>
    <t>Sidi at Taia (Sidi Taya)</t>
  </si>
  <si>
    <t>Zriba-Guebli</t>
  </si>
  <si>
    <t>Bayindir</t>
  </si>
  <si>
    <t>Turkey</t>
  </si>
  <si>
    <t>Çayeli Bakir</t>
  </si>
  <si>
    <t>Çorak</t>
  </si>
  <si>
    <t>Mediterranean Resources</t>
  </si>
  <si>
    <t>Tufanbeyli Group</t>
  </si>
  <si>
    <t>Red Crescent Resources</t>
  </si>
  <si>
    <t>Yenice</t>
  </si>
  <si>
    <t>Nesko</t>
  </si>
  <si>
    <t>Türkiye (2013)</t>
  </si>
  <si>
    <t>Yenipazar</t>
  </si>
  <si>
    <t>Aldridge Minerals</t>
  </si>
  <si>
    <t>South Crofty</t>
  </si>
  <si>
    <t>UK</t>
  </si>
  <si>
    <t>Granite-related</t>
  </si>
  <si>
    <t>????</t>
  </si>
  <si>
    <t>Celeste Copper</t>
  </si>
  <si>
    <t>Tech Rep (2012-10)</t>
  </si>
  <si>
    <t>Back Forty</t>
  </si>
  <si>
    <t>USA</t>
  </si>
  <si>
    <t>Aquila Resources Inc</t>
  </si>
  <si>
    <t>Blue Moon</t>
  </si>
  <si>
    <t>C.O.D.-Kingman</t>
  </si>
  <si>
    <t>ARS Mining</t>
  </si>
  <si>
    <t>Tech Rep (2008-07)</t>
  </si>
  <si>
    <r>
      <rPr>
        <sz val="10"/>
        <color rgb="FF000000"/>
        <rFont val="Arial"/>
        <family val="2"/>
      </rPr>
      <t xml:space="preserve">C.O.D.-Kingman </t>
    </r>
    <r>
      <rPr>
        <b/>
        <sz val="10"/>
        <color rgb="FFFF0000"/>
        <rFont val="Arial"/>
        <family val="2"/>
      </rPr>
      <t>Tailings</t>
    </r>
  </si>
  <si>
    <r>
      <rPr>
        <sz val="10"/>
        <color rgb="FF000000"/>
        <rFont val="Arial"/>
        <family val="2"/>
      </rPr>
      <t xml:space="preserve">Mesothermal Vein </t>
    </r>
    <r>
      <rPr>
        <b/>
        <sz val="10"/>
        <color rgb="FFFF0000"/>
        <rFont val="Arial"/>
        <family val="2"/>
      </rPr>
      <t>Tailings</t>
    </r>
  </si>
  <si>
    <t>Coeur-Galena Complex (Pb-Ag only)</t>
  </si>
  <si>
    <t>Coeur D'Alene district</t>
  </si>
  <si>
    <t>US Silver &amp; Gold</t>
  </si>
  <si>
    <t>East Tennessee (Coy-Immel-Young)</t>
  </si>
  <si>
    <t>Empire</t>
  </si>
  <si>
    <t>Musgrove Minerals</t>
  </si>
  <si>
    <t>Tech Rep (2006-09)</t>
  </si>
  <si>
    <t>Greens Creek</t>
  </si>
  <si>
    <t>Lik</t>
  </si>
  <si>
    <t>Zazu Metals Corp</t>
  </si>
  <si>
    <t>Lone Mountain-Upper Lake Valley</t>
  </si>
  <si>
    <t>Copper One</t>
  </si>
  <si>
    <t>Tech Rep 2009-11</t>
  </si>
  <si>
    <t>Lucky Friday</t>
  </si>
  <si>
    <t>Middle Tennessee (Gordonsville-Elmwood-Cumberland)</t>
  </si>
  <si>
    <t>Montana Tunnels (M-pit)</t>
  </si>
  <si>
    <t>Au</t>
  </si>
  <si>
    <t>Eastern Resources</t>
  </si>
  <si>
    <t>Reserves-Resources 2008</t>
  </si>
  <si>
    <t>Niblack (Lookout-Trio)</t>
  </si>
  <si>
    <t>Heatherdale Resources</t>
  </si>
  <si>
    <t>Website (2014-01-14)</t>
  </si>
  <si>
    <t>Pend Oreille (Yellowhead)</t>
  </si>
  <si>
    <t>Red Dog</t>
  </si>
  <si>
    <t>Reef Ridge</t>
  </si>
  <si>
    <t>Doyon</t>
  </si>
  <si>
    <t>Revenue (Virginius)</t>
  </si>
  <si>
    <t>Fortune Minerals</t>
  </si>
  <si>
    <t>Revenue (Yellow Rose)</t>
  </si>
  <si>
    <t>San Juan</t>
  </si>
  <si>
    <t>Silver Valley-Star</t>
  </si>
  <si>
    <r>
      <rPr>
        <sz val="10"/>
        <color rgb="FF000000"/>
        <rFont val="Arial"/>
        <family val="2"/>
      </rPr>
      <t>Sunshine (</t>
    </r>
    <r>
      <rPr>
        <i/>
        <sz val="10"/>
        <color rgb="FF000000"/>
        <rFont val="Arial"/>
        <family val="2"/>
      </rPr>
      <t>inferred only</t>
    </r>
    <r>
      <rPr>
        <sz val="10"/>
        <color rgb="FF000000"/>
        <rFont val="Arial"/>
        <family val="2"/>
      </rPr>
      <t>)</t>
    </r>
  </si>
  <si>
    <t>Su-Lik</t>
  </si>
  <si>
    <t>Upper Kobuk-Arctic</t>
  </si>
  <si>
    <t>NovaCopper</t>
  </si>
  <si>
    <t>West Desert (Crypto)</t>
  </si>
  <si>
    <t>InZinc Mining (formerly Lithic Res.)</t>
  </si>
  <si>
    <t>Khandiza</t>
  </si>
  <si>
    <t>Uzbekistan</t>
  </si>
  <si>
    <t>Marakand Minerals</t>
  </si>
  <si>
    <t>Website (2014-10-07; also Oxus Gold)</t>
  </si>
  <si>
    <t>Parys Mountain</t>
  </si>
  <si>
    <t>Wales</t>
  </si>
  <si>
    <t>Anglesey Mining</t>
  </si>
  <si>
    <t>Jabali</t>
  </si>
  <si>
    <t>Yemen</t>
  </si>
  <si>
    <t>Non-sulfide Zinc deposit</t>
  </si>
  <si>
    <t>unknoown</t>
  </si>
  <si>
    <t>Mondillo et al 2014</t>
  </si>
  <si>
    <r>
      <rPr>
        <sz val="10"/>
        <color rgb="FF000000"/>
        <rFont val="Arial"/>
        <family val="2"/>
      </rPr>
      <t xml:space="preserve">Jabali </t>
    </r>
    <r>
      <rPr>
        <b/>
        <sz val="10"/>
        <color rgb="FFFF0000"/>
        <rFont val="Arial"/>
        <family val="2"/>
      </rPr>
      <t>Stockpile</t>
    </r>
  </si>
  <si>
    <t>SNC</t>
  </si>
  <si>
    <t>Kabwe</t>
  </si>
  <si>
    <t>Zambia</t>
  </si>
  <si>
    <t>Berkley Mineral Resources</t>
  </si>
  <si>
    <r>
      <rPr>
        <sz val="10"/>
        <color rgb="FF000000"/>
        <rFont val="Arial"/>
        <family val="2"/>
      </rPr>
      <t xml:space="preserve">Kabwe </t>
    </r>
    <r>
      <rPr>
        <b/>
        <sz val="10"/>
        <color rgb="FFFF0000"/>
        <rFont val="Arial"/>
        <family val="2"/>
      </rPr>
      <t>Tailings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</si>
</sst>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9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3366FF"/>
      <name val="Arial"/>
      <family val="2"/>
    </font>
    <font>
      <b/>
      <sz val="10"/>
      <color rgb="FF993300"/>
      <name val="Arial"/>
      <family val="2"/>
    </font>
    <font>
      <b/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rgb="FF008000"/>
      <name val="Arial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rgb="FFCCFFF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" fontId="5" fillId="3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852"/>
  <sheetViews>
    <sheetView tabSelected="1" topLeftCell="B1" workbookViewId="0">
      <selection activeCell="K3" sqref="K3"/>
    </sheetView>
  </sheetViews>
  <sheetFormatPr baseColWidth="10" defaultColWidth="8.83203125" defaultRowHeight="15" x14ac:dyDescent="0.2"/>
  <cols>
    <col min="1" max="7" width="12.5" style="17" bestFit="1" customWidth="1"/>
    <col min="8" max="10" width="12.5" style="18" bestFit="1" customWidth="1"/>
    <col min="11" max="11" width="12.5" style="19" bestFit="1" customWidth="1"/>
    <col min="12" max="13" width="12.5" style="18" bestFit="1" customWidth="1"/>
  </cols>
  <sheetData>
    <row r="1" spans="1:13" ht="18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2"/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5" t="s">
        <v>10</v>
      </c>
      <c r="M1" s="5" t="s">
        <v>11</v>
      </c>
    </row>
    <row r="2" spans="1:13" ht="18" customHeight="1" x14ac:dyDescent="0.2">
      <c r="A2" s="2" t="s">
        <v>12</v>
      </c>
      <c r="B2" s="2" t="s">
        <v>13</v>
      </c>
      <c r="C2" s="2" t="s">
        <v>14</v>
      </c>
      <c r="D2" s="2" t="s">
        <v>15</v>
      </c>
      <c r="E2" s="7" t="s">
        <v>16</v>
      </c>
      <c r="F2" s="2" t="s">
        <v>17</v>
      </c>
      <c r="G2" s="2" t="s">
        <v>18</v>
      </c>
      <c r="H2" s="8">
        <v>7.1</v>
      </c>
      <c r="I2" s="8">
        <v>1.2</v>
      </c>
      <c r="J2" s="8">
        <v>1.9</v>
      </c>
      <c r="K2" s="9"/>
      <c r="L2" s="8"/>
      <c r="M2" s="8"/>
    </row>
    <row r="3" spans="1:13" ht="18" customHeight="1" x14ac:dyDescent="0.2">
      <c r="A3" s="2" t="s">
        <v>19</v>
      </c>
      <c r="B3" s="2" t="s">
        <v>13</v>
      </c>
      <c r="C3" s="2" t="s">
        <v>14</v>
      </c>
      <c r="D3" s="2" t="s">
        <v>15</v>
      </c>
      <c r="E3" s="7" t="s">
        <v>16</v>
      </c>
      <c r="F3" s="2" t="s">
        <v>17</v>
      </c>
      <c r="G3" s="2" t="s">
        <v>20</v>
      </c>
      <c r="H3" s="9">
        <v>12</v>
      </c>
      <c r="I3" s="8">
        <v>2.0699999999999998</v>
      </c>
      <c r="J3" s="8">
        <v>6.5</v>
      </c>
      <c r="K3" s="9"/>
      <c r="L3" s="8"/>
      <c r="M3" s="8"/>
    </row>
    <row r="4" spans="1:13" ht="18" customHeight="1" x14ac:dyDescent="0.2">
      <c r="A4" s="2" t="s">
        <v>21</v>
      </c>
      <c r="B4" s="2" t="s">
        <v>13</v>
      </c>
      <c r="C4" s="2" t="s">
        <v>14</v>
      </c>
      <c r="D4" s="2" t="s">
        <v>15</v>
      </c>
      <c r="E4" s="7" t="s">
        <v>16</v>
      </c>
      <c r="F4" s="2" t="s">
        <v>17</v>
      </c>
      <c r="G4" s="2" t="s">
        <v>20</v>
      </c>
      <c r="H4" s="9">
        <v>38</v>
      </c>
      <c r="I4" s="8">
        <v>2.33</v>
      </c>
      <c r="J4" s="8">
        <v>3.52</v>
      </c>
      <c r="K4" s="9"/>
      <c r="L4" s="8"/>
      <c r="M4" s="8"/>
    </row>
    <row r="5" spans="1:13" ht="18" customHeight="1" x14ac:dyDescent="0.2">
      <c r="A5" s="2" t="s">
        <v>22</v>
      </c>
      <c r="B5" s="2" t="s">
        <v>13</v>
      </c>
      <c r="C5" s="2" t="s">
        <v>14</v>
      </c>
      <c r="D5" s="2" t="s">
        <v>15</v>
      </c>
      <c r="E5" s="7" t="s">
        <v>16</v>
      </c>
      <c r="F5" s="2" t="s">
        <v>17</v>
      </c>
      <c r="G5" s="2" t="s">
        <v>18</v>
      </c>
      <c r="H5" s="8">
        <v>1.6</v>
      </c>
      <c r="I5" s="8">
        <v>3.6</v>
      </c>
      <c r="J5" s="8">
        <v>18.399999999999999</v>
      </c>
      <c r="K5" s="9"/>
      <c r="L5" s="8"/>
      <c r="M5" s="8"/>
    </row>
    <row r="6" spans="1:13" ht="18" customHeight="1" x14ac:dyDescent="0.2">
      <c r="A6" s="2" t="s">
        <v>23</v>
      </c>
      <c r="B6" s="2" t="s">
        <v>13</v>
      </c>
      <c r="C6" s="2" t="s">
        <v>24</v>
      </c>
      <c r="D6" s="2" t="s">
        <v>25</v>
      </c>
      <c r="E6" s="2" t="s">
        <v>26</v>
      </c>
      <c r="F6" s="2" t="s">
        <v>27</v>
      </c>
      <c r="G6" s="2" t="s">
        <v>28</v>
      </c>
      <c r="H6" s="8">
        <v>11.5</v>
      </c>
      <c r="I6" s="8">
        <v>2.6</v>
      </c>
      <c r="J6" s="8">
        <v>2.1</v>
      </c>
      <c r="K6" s="9">
        <v>95</v>
      </c>
      <c r="L6" s="8">
        <v>0.7</v>
      </c>
      <c r="M6" s="8"/>
    </row>
    <row r="7" spans="1:13" ht="18" customHeight="1" x14ac:dyDescent="0.2">
      <c r="A7" s="2" t="s">
        <v>29</v>
      </c>
      <c r="B7" s="2" t="s">
        <v>13</v>
      </c>
      <c r="C7" s="2" t="s">
        <v>30</v>
      </c>
      <c r="D7" s="2"/>
      <c r="E7" s="2" t="s">
        <v>26</v>
      </c>
      <c r="F7" s="2" t="s">
        <v>31</v>
      </c>
      <c r="G7" s="2" t="s">
        <v>32</v>
      </c>
      <c r="H7" s="8">
        <v>68.599999999999994</v>
      </c>
      <c r="I7" s="8">
        <v>1.1000000000000001</v>
      </c>
      <c r="J7" s="8">
        <v>4.5999999999999996</v>
      </c>
      <c r="K7" s="9"/>
      <c r="L7" s="8"/>
      <c r="M7" s="8"/>
    </row>
    <row r="8" spans="1:13" ht="18" customHeight="1" x14ac:dyDescent="0.2">
      <c r="A8" s="2" t="s">
        <v>33</v>
      </c>
      <c r="B8" s="2" t="s">
        <v>13</v>
      </c>
      <c r="C8" s="2" t="s">
        <v>24</v>
      </c>
      <c r="D8" s="2"/>
      <c r="E8" s="7" t="s">
        <v>16</v>
      </c>
      <c r="F8" s="2" t="s">
        <v>34</v>
      </c>
      <c r="G8" s="2" t="s">
        <v>35</v>
      </c>
      <c r="H8" s="11">
        <v>6.5850400000000002</v>
      </c>
      <c r="I8" s="8"/>
      <c r="J8" s="8">
        <v>1.65</v>
      </c>
      <c r="K8" s="9"/>
      <c r="L8" s="8">
        <v>0.55000000000000004</v>
      </c>
      <c r="M8" s="8">
        <v>1.62</v>
      </c>
    </row>
    <row r="9" spans="1:13" ht="18" customHeight="1" x14ac:dyDescent="0.2">
      <c r="A9" s="2" t="s">
        <v>36</v>
      </c>
      <c r="B9" s="2" t="s">
        <v>37</v>
      </c>
      <c r="C9" s="2" t="s">
        <v>14</v>
      </c>
      <c r="D9" s="2" t="s">
        <v>38</v>
      </c>
      <c r="E9" s="2" t="s">
        <v>26</v>
      </c>
      <c r="F9" s="2" t="s">
        <v>39</v>
      </c>
      <c r="G9" s="2" t="s">
        <v>40</v>
      </c>
      <c r="H9" s="8">
        <f>2.22+4.8+1.8</f>
        <v>8.82</v>
      </c>
      <c r="I9" s="10">
        <f>(6.08*2.22+3.5*4.8+5*1.8)/$H9</f>
        <v>4.4555102040816328</v>
      </c>
      <c r="J9" s="10">
        <f>(5.67*2.22+3.5*4.8+6*1.8)/$H9</f>
        <v>4.5563945578231291</v>
      </c>
      <c r="K9" s="12">
        <f>(128*2.22+84*4.8+100*1.8)/$H9</f>
        <v>98.340136054421762</v>
      </c>
      <c r="L9" s="8"/>
      <c r="M9" s="8"/>
    </row>
    <row r="10" spans="1:13" ht="18" customHeight="1" x14ac:dyDescent="0.2">
      <c r="A10" s="2" t="s">
        <v>41</v>
      </c>
      <c r="B10" s="2" t="s">
        <v>37</v>
      </c>
      <c r="C10" s="2" t="s">
        <v>42</v>
      </c>
      <c r="D10" s="2"/>
      <c r="E10" s="2" t="s">
        <v>26</v>
      </c>
      <c r="F10" s="2" t="s">
        <v>43</v>
      </c>
      <c r="G10" s="2" t="s">
        <v>44</v>
      </c>
      <c r="H10" s="9">
        <f>389+1397</f>
        <v>1786</v>
      </c>
      <c r="I10" s="8">
        <f>(0.01*389+0.01*1397)/$H10</f>
        <v>0.01</v>
      </c>
      <c r="J10" s="8">
        <f>(0.03*389+0.02*1397)/$H10</f>
        <v>2.2178051511758119E-2</v>
      </c>
      <c r="K10" s="10">
        <f>(1.8*389+1.9*1397)/$H10</f>
        <v>1.8782194848824187</v>
      </c>
      <c r="L10" s="8">
        <f>(0.63*389+0.46*1397)/$H10</f>
        <v>0.49702687569988807</v>
      </c>
      <c r="M10" s="8">
        <f>(0.07*389+0.06*1397)/$H10</f>
        <v>6.217805151175812E-2</v>
      </c>
    </row>
    <row r="11" spans="1:13" ht="18" customHeight="1" x14ac:dyDescent="0.2">
      <c r="A11" s="2" t="s">
        <v>45</v>
      </c>
      <c r="B11" s="2" t="s">
        <v>37</v>
      </c>
      <c r="C11" s="2" t="s">
        <v>30</v>
      </c>
      <c r="D11" s="2"/>
      <c r="E11" s="2" t="s">
        <v>26</v>
      </c>
      <c r="F11" s="2" t="s">
        <v>46</v>
      </c>
      <c r="G11" s="2" t="s">
        <v>47</v>
      </c>
      <c r="H11" s="8">
        <f>15.4+139.8+45.9</f>
        <v>201.10000000000002</v>
      </c>
      <c r="I11" s="8">
        <f>(1.44*15.4+0.79*139.8+0.57*45.9)/$H11</f>
        <v>0.78956240676280454</v>
      </c>
      <c r="J11" s="8"/>
      <c r="K11" s="12">
        <f>(137*15.4+126*139.8+81*45.9)/$H11</f>
        <v>116.57135753356539</v>
      </c>
      <c r="L11" s="8">
        <f>(0.1*15.4+0.04*139.8+0.02*45.9)/$H11</f>
        <v>4.0029835902536053E-2</v>
      </c>
      <c r="M11" s="8"/>
    </row>
    <row r="12" spans="1:13" ht="18" customHeight="1" x14ac:dyDescent="0.2">
      <c r="A12" s="2" t="s">
        <v>48</v>
      </c>
      <c r="B12" s="2" t="s">
        <v>37</v>
      </c>
      <c r="C12" s="2" t="s">
        <v>30</v>
      </c>
      <c r="D12" s="2" t="s">
        <v>49</v>
      </c>
      <c r="E12" s="2" t="s">
        <v>26</v>
      </c>
      <c r="F12" s="2" t="s">
        <v>50</v>
      </c>
      <c r="G12" s="2" t="s">
        <v>51</v>
      </c>
      <c r="H12" s="8">
        <f>9.21+50.04</f>
        <v>59.25</v>
      </c>
      <c r="I12" s="8">
        <f>(0.41*9.21+0.32*50.04)/$H12</f>
        <v>0.33398987341772146</v>
      </c>
      <c r="J12" s="8">
        <f>(1.21*9.21+0.84*50.04)/$H12</f>
        <v>0.89751392405063291</v>
      </c>
      <c r="K12" s="10">
        <f>(28.22*9.21+18.55*50.04)/$H12</f>
        <v>20.053134177215192</v>
      </c>
      <c r="L12" s="8"/>
      <c r="M12" s="8">
        <f>(0.229*9.21+0.183*50.04)/$H12</f>
        <v>0.19015037974683546</v>
      </c>
    </row>
    <row r="13" spans="1:13" ht="17.25" customHeight="1" x14ac:dyDescent="0.2">
      <c r="A13" s="2" t="s">
        <v>52</v>
      </c>
      <c r="B13" s="2" t="s">
        <v>37</v>
      </c>
      <c r="C13" s="2" t="s">
        <v>30</v>
      </c>
      <c r="D13" s="2" t="s">
        <v>53</v>
      </c>
      <c r="E13" s="2" t="s">
        <v>26</v>
      </c>
      <c r="F13" s="2" t="s">
        <v>54</v>
      </c>
      <c r="G13" s="2" t="s">
        <v>47</v>
      </c>
      <c r="H13" s="8">
        <f>7.9+19.2+1.1+5.4</f>
        <v>33.6</v>
      </c>
      <c r="I13" s="8"/>
      <c r="J13" s="8">
        <f>(0.35*7.9+1.73*19.2+1.39*1.1+2.38*5.4)/$H13</f>
        <v>1.4988690476190478</v>
      </c>
      <c r="K13" s="10">
        <f>(210*7.9+162*19.2+125*1.1+162*5.4)/$H13</f>
        <v>172.07440476190476</v>
      </c>
      <c r="L13" s="8"/>
      <c r="M13" s="8"/>
    </row>
    <row r="14" spans="1:13" ht="17.25" customHeight="1" x14ac:dyDescent="0.2">
      <c r="A14" s="2" t="s">
        <v>55</v>
      </c>
      <c r="B14" s="2" t="s">
        <v>56</v>
      </c>
      <c r="C14" s="2" t="s">
        <v>24</v>
      </c>
      <c r="D14" s="2"/>
      <c r="E14" s="7" t="s">
        <v>16</v>
      </c>
      <c r="F14" s="2" t="s">
        <v>17</v>
      </c>
      <c r="G14" s="2" t="s">
        <v>57</v>
      </c>
      <c r="H14" s="8">
        <v>1.2</v>
      </c>
      <c r="I14" s="8">
        <v>1.67</v>
      </c>
      <c r="J14" s="8">
        <v>4.4800000000000004</v>
      </c>
      <c r="K14" s="9">
        <v>104</v>
      </c>
      <c r="L14" s="8">
        <v>0.57999999999999996</v>
      </c>
      <c r="M14" s="8">
        <v>1.3</v>
      </c>
    </row>
    <row r="15" spans="1:13" ht="17.25" customHeight="1" x14ac:dyDescent="0.2">
      <c r="A15" s="2" t="s">
        <v>58</v>
      </c>
      <c r="B15" s="2" t="s">
        <v>56</v>
      </c>
      <c r="C15" s="2" t="s">
        <v>24</v>
      </c>
      <c r="D15" s="2"/>
      <c r="E15" s="7" t="s">
        <v>16</v>
      </c>
      <c r="F15" s="2" t="s">
        <v>59</v>
      </c>
      <c r="G15" s="2" t="s">
        <v>60</v>
      </c>
      <c r="H15" s="10">
        <f>18*0.9072</f>
        <v>16.329599999999999</v>
      </c>
      <c r="I15" s="10">
        <v>1</v>
      </c>
      <c r="J15" s="8">
        <v>2.2000000000000002</v>
      </c>
      <c r="K15" s="9">
        <v>10</v>
      </c>
      <c r="L15" s="8">
        <v>0.9</v>
      </c>
      <c r="M15" s="8">
        <v>0.9</v>
      </c>
    </row>
    <row r="16" spans="1:13" ht="17.25" customHeight="1" x14ac:dyDescent="0.2">
      <c r="A16" s="2" t="s">
        <v>61</v>
      </c>
      <c r="B16" s="2" t="s">
        <v>56</v>
      </c>
      <c r="C16" s="2" t="s">
        <v>30</v>
      </c>
      <c r="D16" s="2" t="s">
        <v>53</v>
      </c>
      <c r="E16" s="2" t="s">
        <v>26</v>
      </c>
      <c r="F16" s="2" t="s">
        <v>62</v>
      </c>
      <c r="G16" s="2" t="s">
        <v>47</v>
      </c>
      <c r="H16" s="8">
        <f>2.8+10.6</f>
        <v>13.399999999999999</v>
      </c>
      <c r="I16" s="10">
        <f>(0.2*2.8+0.1*10.6)/$H16</f>
        <v>0.12089552238805973</v>
      </c>
      <c r="J16" s="8">
        <f>(2.06*2.8+1.66*10.6)/$H16</f>
        <v>1.7435820895522391</v>
      </c>
      <c r="K16" s="10">
        <f>(49.82*2.8+41.18*10.6)/$H16</f>
        <v>42.985373134328356</v>
      </c>
      <c r="L16" s="8">
        <f>(0.39*2.8+0.42*10.6)/$H16</f>
        <v>0.41373134328358208</v>
      </c>
      <c r="M16" s="10">
        <f>(2.6*2.8+2.3*10.6)/$H16</f>
        <v>2.3626865671641792</v>
      </c>
    </row>
    <row r="17" spans="1:13" ht="17.25" customHeight="1" x14ac:dyDescent="0.2">
      <c r="A17" s="2" t="s">
        <v>63</v>
      </c>
      <c r="B17" s="2" t="s">
        <v>56</v>
      </c>
      <c r="C17" s="2" t="s">
        <v>24</v>
      </c>
      <c r="D17" s="2"/>
      <c r="E17" s="7" t="s">
        <v>16</v>
      </c>
      <c r="F17" s="2" t="s">
        <v>17</v>
      </c>
      <c r="G17" s="2" t="s">
        <v>64</v>
      </c>
      <c r="H17" s="8">
        <v>4.5</v>
      </c>
      <c r="I17" s="8">
        <v>1.71</v>
      </c>
      <c r="J17" s="8">
        <v>4.96</v>
      </c>
      <c r="K17" s="8">
        <v>8.1</v>
      </c>
      <c r="L17" s="8">
        <v>3.54</v>
      </c>
      <c r="M17" s="8"/>
    </row>
    <row r="18" spans="1:13" ht="17.25" customHeight="1" x14ac:dyDescent="0.2">
      <c r="A18" s="2" t="s">
        <v>65</v>
      </c>
      <c r="B18" s="2" t="s">
        <v>56</v>
      </c>
      <c r="C18" s="2" t="s">
        <v>30</v>
      </c>
      <c r="D18" s="2" t="s">
        <v>49</v>
      </c>
      <c r="E18" s="7" t="s">
        <v>16</v>
      </c>
      <c r="F18" s="2" t="s">
        <v>66</v>
      </c>
      <c r="G18" s="2" t="s">
        <v>67</v>
      </c>
      <c r="H18" s="8">
        <v>15.4</v>
      </c>
      <c r="I18" s="8">
        <v>1.1000000000000001</v>
      </c>
      <c r="J18" s="8">
        <v>1.21</v>
      </c>
      <c r="K18" s="8">
        <v>92.1</v>
      </c>
      <c r="L18" s="8">
        <v>0.8</v>
      </c>
      <c r="M18" s="8">
        <v>2.31</v>
      </c>
    </row>
    <row r="19" spans="1:13" ht="17.25" customHeight="1" x14ac:dyDescent="0.2">
      <c r="A19" s="2" t="s">
        <v>68</v>
      </c>
      <c r="B19" s="2" t="s">
        <v>69</v>
      </c>
      <c r="C19" s="2" t="s">
        <v>14</v>
      </c>
      <c r="D19" s="2" t="s">
        <v>15</v>
      </c>
      <c r="E19" s="2" t="s">
        <v>26</v>
      </c>
      <c r="F19" s="2" t="s">
        <v>70</v>
      </c>
      <c r="G19" s="2" t="s">
        <v>71</v>
      </c>
      <c r="H19" s="8">
        <v>96.7</v>
      </c>
      <c r="I19" s="8">
        <v>2.9</v>
      </c>
      <c r="J19" s="8">
        <v>2.4</v>
      </c>
      <c r="K19" s="9">
        <v>15</v>
      </c>
      <c r="L19" s="8"/>
      <c r="M19" s="8"/>
    </row>
    <row r="20" spans="1:13" ht="17.25" customHeight="1" x14ac:dyDescent="0.2">
      <c r="A20" s="2" t="s">
        <v>72</v>
      </c>
      <c r="B20" s="2" t="s">
        <v>69</v>
      </c>
      <c r="C20" s="2" t="s">
        <v>24</v>
      </c>
      <c r="D20" s="2"/>
      <c r="E20" s="2" t="s">
        <v>26</v>
      </c>
      <c r="F20" s="2" t="s">
        <v>73</v>
      </c>
      <c r="G20" s="2" t="s">
        <v>74</v>
      </c>
      <c r="H20" s="11">
        <v>5.6718999999999999E-2</v>
      </c>
      <c r="I20" s="8">
        <v>1.22</v>
      </c>
      <c r="J20" s="8">
        <v>4.41</v>
      </c>
      <c r="K20" s="8">
        <v>32.700000000000003</v>
      </c>
      <c r="L20" s="8"/>
      <c r="M20" s="8"/>
    </row>
    <row r="21" spans="1:13" ht="17.25" customHeight="1" x14ac:dyDescent="0.2">
      <c r="A21" s="2" t="s">
        <v>75</v>
      </c>
      <c r="B21" s="2" t="s">
        <v>69</v>
      </c>
      <c r="C21" s="2" t="s">
        <v>14</v>
      </c>
      <c r="D21" s="2" t="s">
        <v>38</v>
      </c>
      <c r="E21" s="2" t="s">
        <v>26</v>
      </c>
      <c r="F21" s="2" t="s">
        <v>76</v>
      </c>
      <c r="G21" s="2" t="s">
        <v>77</v>
      </c>
      <c r="H21" s="8">
        <v>5.8</v>
      </c>
      <c r="I21" s="10">
        <v>4</v>
      </c>
      <c r="J21" s="8">
        <v>0.5</v>
      </c>
      <c r="K21" s="9">
        <v>40</v>
      </c>
      <c r="L21" s="8"/>
      <c r="M21" s="8"/>
    </row>
    <row r="22" spans="1:13" ht="17.25" customHeight="1" x14ac:dyDescent="0.2">
      <c r="A22" s="2" t="s">
        <v>78</v>
      </c>
      <c r="B22" s="2" t="s">
        <v>69</v>
      </c>
      <c r="C22" s="2" t="s">
        <v>24</v>
      </c>
      <c r="D22" s="2"/>
      <c r="E22" s="2" t="s">
        <v>26</v>
      </c>
      <c r="F22" s="2" t="s">
        <v>79</v>
      </c>
      <c r="G22" s="2" t="s">
        <v>80</v>
      </c>
      <c r="H22" s="11">
        <v>0.87683100000000003</v>
      </c>
      <c r="I22" s="8"/>
      <c r="J22" s="8">
        <v>1.97</v>
      </c>
      <c r="K22" s="9">
        <v>6</v>
      </c>
      <c r="L22" s="8">
        <v>0.96</v>
      </c>
      <c r="M22" s="8"/>
    </row>
    <row r="23" spans="1:13" ht="17.25" customHeight="1" x14ac:dyDescent="0.2">
      <c r="A23" s="2" t="s">
        <v>81</v>
      </c>
      <c r="B23" s="2" t="s">
        <v>69</v>
      </c>
      <c r="C23" s="2" t="s">
        <v>14</v>
      </c>
      <c r="D23" s="2" t="s">
        <v>38</v>
      </c>
      <c r="E23" s="2" t="s">
        <v>26</v>
      </c>
      <c r="F23" s="2" t="s">
        <v>31</v>
      </c>
      <c r="G23" s="2" t="s">
        <v>82</v>
      </c>
      <c r="H23" s="8">
        <v>0.91</v>
      </c>
      <c r="I23" s="8">
        <v>1.7</v>
      </c>
      <c r="J23" s="8">
        <v>4.2</v>
      </c>
      <c r="K23" s="10">
        <v>31.059375124956194</v>
      </c>
      <c r="L23" s="13">
        <v>0.22</v>
      </c>
      <c r="M23" s="13">
        <v>0.5</v>
      </c>
    </row>
    <row r="24" spans="1:13" ht="17.25" customHeight="1" x14ac:dyDescent="0.2">
      <c r="A24" s="2" t="s">
        <v>83</v>
      </c>
      <c r="B24" s="2" t="s">
        <v>69</v>
      </c>
      <c r="C24" s="2" t="s">
        <v>84</v>
      </c>
      <c r="D24" s="2" t="s">
        <v>85</v>
      </c>
      <c r="E24" s="2" t="s">
        <v>26</v>
      </c>
      <c r="F24" s="2" t="s">
        <v>86</v>
      </c>
      <c r="G24" s="2" t="s">
        <v>87</v>
      </c>
      <c r="H24" s="8">
        <v>12.2</v>
      </c>
      <c r="I24" s="8">
        <v>0.56000000000000005</v>
      </c>
      <c r="J24" s="8"/>
      <c r="K24" s="9"/>
      <c r="L24" s="8">
        <v>0.49</v>
      </c>
      <c r="M24" s="8"/>
    </row>
    <row r="25" spans="1:13" ht="17.25" customHeight="1" x14ac:dyDescent="0.2">
      <c r="A25" s="2" t="s">
        <v>88</v>
      </c>
      <c r="B25" s="2" t="s">
        <v>69</v>
      </c>
      <c r="C25" s="2" t="s">
        <v>24</v>
      </c>
      <c r="D25" s="2"/>
      <c r="E25" s="2" t="s">
        <v>26</v>
      </c>
      <c r="F25" s="2" t="s">
        <v>70</v>
      </c>
      <c r="G25" s="2" t="s">
        <v>71</v>
      </c>
      <c r="H25" s="11">
        <v>2.9766370000000002</v>
      </c>
      <c r="I25" s="8">
        <v>2.1415765161813343</v>
      </c>
      <c r="J25" s="8">
        <v>5.0579546595930767</v>
      </c>
      <c r="K25" s="10">
        <v>39.290663763740611</v>
      </c>
      <c r="L25" s="8">
        <v>1.5926444352859215</v>
      </c>
      <c r="M25" s="8">
        <v>0.40780120508843704</v>
      </c>
    </row>
    <row r="26" spans="1:13" ht="17.25" customHeight="1" x14ac:dyDescent="0.2">
      <c r="A26" s="2" t="s">
        <v>89</v>
      </c>
      <c r="B26" s="2" t="s">
        <v>69</v>
      </c>
      <c r="C26" s="2" t="s">
        <v>30</v>
      </c>
      <c r="D26" s="2" t="s">
        <v>53</v>
      </c>
      <c r="E26" s="2" t="s">
        <v>26</v>
      </c>
      <c r="F26" s="2" t="s">
        <v>90</v>
      </c>
      <c r="G26" s="2" t="s">
        <v>80</v>
      </c>
      <c r="H26" s="11">
        <v>9.5000000000000001E-2</v>
      </c>
      <c r="I26" s="8">
        <v>2.08</v>
      </c>
      <c r="J26" s="10"/>
      <c r="K26" s="12"/>
      <c r="L26" s="8"/>
      <c r="M26" s="8">
        <v>0.2</v>
      </c>
    </row>
    <row r="27" spans="1:13" ht="17.25" customHeight="1" x14ac:dyDescent="0.2">
      <c r="A27" s="2" t="s">
        <v>91</v>
      </c>
      <c r="B27" s="2" t="s">
        <v>69</v>
      </c>
      <c r="C27" s="2" t="s">
        <v>24</v>
      </c>
      <c r="D27" s="2"/>
      <c r="E27" s="2" t="s">
        <v>26</v>
      </c>
      <c r="F27" s="2" t="s">
        <v>92</v>
      </c>
      <c r="G27" s="2" t="s">
        <v>93</v>
      </c>
      <c r="H27" s="11">
        <v>2.5</v>
      </c>
      <c r="I27" s="8">
        <v>1.2</v>
      </c>
      <c r="J27" s="10">
        <v>2</v>
      </c>
      <c r="K27" s="12">
        <v>36</v>
      </c>
      <c r="L27" s="8">
        <v>1.8</v>
      </c>
      <c r="M27" s="8">
        <v>0.14000000000000001</v>
      </c>
    </row>
    <row r="28" spans="1:13" ht="17.25" customHeight="1" x14ac:dyDescent="0.2">
      <c r="A28" s="2" t="s">
        <v>94</v>
      </c>
      <c r="B28" s="2" t="s">
        <v>69</v>
      </c>
      <c r="C28" s="2" t="s">
        <v>24</v>
      </c>
      <c r="D28" s="2"/>
      <c r="E28" s="2" t="s">
        <v>26</v>
      </c>
      <c r="F28" s="2" t="s">
        <v>95</v>
      </c>
      <c r="G28" s="2" t="s">
        <v>96</v>
      </c>
      <c r="H28" s="11">
        <v>2.5450490000000001</v>
      </c>
      <c r="I28" s="8">
        <v>1.1000000000000001</v>
      </c>
      <c r="J28" s="8">
        <v>3.75</v>
      </c>
      <c r="K28" s="8">
        <v>39.61</v>
      </c>
      <c r="L28" s="8">
        <v>0.4</v>
      </c>
      <c r="M28" s="8"/>
    </row>
    <row r="29" spans="1:13" ht="17.25" customHeight="1" x14ac:dyDescent="0.2">
      <c r="A29" s="2" t="s">
        <v>97</v>
      </c>
      <c r="B29" s="2" t="s">
        <v>69</v>
      </c>
      <c r="C29" s="2" t="s">
        <v>24</v>
      </c>
      <c r="D29" s="2"/>
      <c r="E29" s="2" t="s">
        <v>26</v>
      </c>
      <c r="F29" s="2" t="s">
        <v>98</v>
      </c>
      <c r="G29" s="2" t="s">
        <v>82</v>
      </c>
      <c r="H29" s="8">
        <v>2.7709999999999999</v>
      </c>
      <c r="I29" s="8"/>
      <c r="J29" s="8">
        <v>9.6</v>
      </c>
      <c r="K29" s="9">
        <v>139</v>
      </c>
      <c r="L29" s="8">
        <v>1.9</v>
      </c>
      <c r="M29" s="8">
        <v>0.8</v>
      </c>
    </row>
    <row r="30" spans="1:13" ht="17.25" customHeight="1" x14ac:dyDescent="0.2">
      <c r="A30" s="2" t="s">
        <v>99</v>
      </c>
      <c r="B30" s="2" t="s">
        <v>69</v>
      </c>
      <c r="C30" s="2" t="s">
        <v>30</v>
      </c>
      <c r="D30" s="2" t="s">
        <v>49</v>
      </c>
      <c r="E30" s="2" t="s">
        <v>26</v>
      </c>
      <c r="F30" s="2" t="s">
        <v>100</v>
      </c>
      <c r="G30" s="2" t="s">
        <v>82</v>
      </c>
      <c r="H30" s="10">
        <v>88</v>
      </c>
      <c r="I30" s="8">
        <v>0.28999999999999998</v>
      </c>
      <c r="J30" s="8">
        <v>0.39</v>
      </c>
      <c r="K30" s="8">
        <v>47.4</v>
      </c>
      <c r="L30" s="8"/>
      <c r="M30" s="8"/>
    </row>
    <row r="31" spans="1:13" ht="17.25" customHeight="1" x14ac:dyDescent="0.2">
      <c r="A31" s="2" t="s">
        <v>101</v>
      </c>
      <c r="B31" s="2" t="s">
        <v>69</v>
      </c>
      <c r="C31" s="2" t="s">
        <v>14</v>
      </c>
      <c r="D31" s="2" t="s">
        <v>38</v>
      </c>
      <c r="E31" s="2" t="s">
        <v>26</v>
      </c>
      <c r="F31" s="2" t="s">
        <v>102</v>
      </c>
      <c r="G31" s="2" t="s">
        <v>103</v>
      </c>
      <c r="H31" s="8">
        <v>21.7</v>
      </c>
      <c r="I31" s="10">
        <v>7</v>
      </c>
      <c r="J31" s="8">
        <v>9.1999999999999993</v>
      </c>
      <c r="K31" s="9">
        <v>89</v>
      </c>
      <c r="L31" s="8"/>
      <c r="M31" s="8"/>
    </row>
    <row r="32" spans="1:13" ht="17.25" customHeight="1" x14ac:dyDescent="0.2">
      <c r="A32" s="2" t="s">
        <v>104</v>
      </c>
      <c r="B32" s="2" t="s">
        <v>69</v>
      </c>
      <c r="C32" s="2" t="s">
        <v>14</v>
      </c>
      <c r="D32" s="2" t="s">
        <v>38</v>
      </c>
      <c r="E32" s="2" t="s">
        <v>26</v>
      </c>
      <c r="F32" s="2" t="s">
        <v>105</v>
      </c>
      <c r="G32" s="2" t="s">
        <v>106</v>
      </c>
      <c r="H32" s="8">
        <v>16.503</v>
      </c>
      <c r="I32" s="10">
        <v>5.1473550263588432</v>
      </c>
      <c r="J32" s="10">
        <v>6.6099739441313696</v>
      </c>
      <c r="K32" s="12">
        <v>89.095800763497536</v>
      </c>
      <c r="L32" s="8"/>
      <c r="M32" s="8"/>
    </row>
    <row r="33" spans="1:13" ht="17.25" customHeight="1" x14ac:dyDescent="0.2">
      <c r="A33" s="2" t="s">
        <v>107</v>
      </c>
      <c r="B33" s="2" t="s">
        <v>69</v>
      </c>
      <c r="C33" s="2" t="s">
        <v>108</v>
      </c>
      <c r="D33" s="2"/>
      <c r="E33" s="2" t="s">
        <v>26</v>
      </c>
      <c r="F33" s="2" t="s">
        <v>109</v>
      </c>
      <c r="G33" s="2" t="s">
        <v>110</v>
      </c>
      <c r="H33" s="8">
        <v>20.5</v>
      </c>
      <c r="I33" s="8">
        <v>1.1000000000000001</v>
      </c>
      <c r="J33" s="9">
        <v>2</v>
      </c>
      <c r="K33" s="9">
        <v>9</v>
      </c>
      <c r="L33" s="8">
        <v>0.1</v>
      </c>
      <c r="M33" s="8"/>
    </row>
    <row r="34" spans="1:13" ht="17.25" customHeight="1" x14ac:dyDescent="0.2">
      <c r="A34" s="2" t="s">
        <v>111</v>
      </c>
      <c r="B34" s="2" t="s">
        <v>69</v>
      </c>
      <c r="C34" s="2" t="s">
        <v>85</v>
      </c>
      <c r="D34" s="2"/>
      <c r="E34" s="2" t="s">
        <v>26</v>
      </c>
      <c r="F34" s="2" t="s">
        <v>112</v>
      </c>
      <c r="G34" s="2" t="s">
        <v>113</v>
      </c>
      <c r="H34" s="8">
        <v>54.5</v>
      </c>
      <c r="I34" s="8">
        <v>3.094935779816514</v>
      </c>
      <c r="J34" s="8">
        <v>0.60409174311926606</v>
      </c>
      <c r="K34" s="14">
        <v>12.143120567375886</v>
      </c>
      <c r="L34" s="8">
        <v>0.43106422018348628</v>
      </c>
      <c r="M34" s="8"/>
    </row>
    <row r="35" spans="1:13" ht="17.25" customHeight="1" x14ac:dyDescent="0.2">
      <c r="A35" s="2" t="s">
        <v>114</v>
      </c>
      <c r="B35" s="2" t="s">
        <v>69</v>
      </c>
      <c r="C35" s="2" t="s">
        <v>14</v>
      </c>
      <c r="D35" s="2" t="s">
        <v>38</v>
      </c>
      <c r="E35" s="2" t="s">
        <v>26</v>
      </c>
      <c r="F35" s="2" t="s">
        <v>115</v>
      </c>
      <c r="G35" s="2" t="s">
        <v>113</v>
      </c>
      <c r="H35" s="10">
        <v>1</v>
      </c>
      <c r="I35" s="8">
        <v>6.5</v>
      </c>
      <c r="J35" s="10">
        <v>11</v>
      </c>
      <c r="K35" s="9"/>
      <c r="L35" s="8"/>
      <c r="M35" s="8"/>
    </row>
    <row r="36" spans="1:13" ht="17.25" customHeight="1" x14ac:dyDescent="0.2">
      <c r="A36" s="2" t="s">
        <v>116</v>
      </c>
      <c r="B36" s="2" t="s">
        <v>69</v>
      </c>
      <c r="C36" s="2" t="s">
        <v>24</v>
      </c>
      <c r="D36" s="2"/>
      <c r="E36" s="7" t="s">
        <v>16</v>
      </c>
      <c r="F36" s="2" t="s">
        <v>117</v>
      </c>
      <c r="G36" s="2" t="s">
        <v>118</v>
      </c>
      <c r="H36" s="8">
        <f>0.004+0.023+0.09</f>
        <v>0.11699999999999999</v>
      </c>
      <c r="I36" s="10">
        <f>(14.2*0.004+5.3*0.023+2.1*0.09)/$H36</f>
        <v>3.1427350427350431</v>
      </c>
      <c r="J36" s="10">
        <f>(34.5*0.004+11.3*0.023+7.4*0.09)/$H36</f>
        <v>9.0931623931623946</v>
      </c>
      <c r="K36" s="12">
        <f>(92*0.004+41*0.023+47*0.09)/$H36</f>
        <v>47.358974358974358</v>
      </c>
      <c r="L36" s="8">
        <f>(0.81*0.004+0.79*0.023+0*0.09)/$H36</f>
        <v>0.18299145299145303</v>
      </c>
      <c r="M36" s="8">
        <f>(3.75*0.004+2.52*0.023+0*0.09)/$H36</f>
        <v>0.62358974358974362</v>
      </c>
    </row>
    <row r="37" spans="1:13" ht="17.25" customHeight="1" x14ac:dyDescent="0.2">
      <c r="A37" s="2" t="s">
        <v>119</v>
      </c>
      <c r="B37" s="2" t="s">
        <v>69</v>
      </c>
      <c r="C37" s="2" t="s">
        <v>24</v>
      </c>
      <c r="D37" s="2"/>
      <c r="E37" s="2" t="s">
        <v>26</v>
      </c>
      <c r="F37" s="2" t="s">
        <v>120</v>
      </c>
      <c r="G37" s="2" t="s">
        <v>121</v>
      </c>
      <c r="H37" s="8">
        <v>3.1749999999999998</v>
      </c>
      <c r="I37" s="8">
        <v>0.76</v>
      </c>
      <c r="J37" s="8">
        <v>3.3</v>
      </c>
      <c r="K37" s="9">
        <v>101</v>
      </c>
      <c r="L37" s="8">
        <v>0.19</v>
      </c>
      <c r="M37" s="8">
        <v>2.1</v>
      </c>
    </row>
    <row r="38" spans="1:13" ht="17.25" customHeight="1" x14ac:dyDescent="0.2">
      <c r="A38" s="2" t="s">
        <v>122</v>
      </c>
      <c r="B38" s="2" t="s">
        <v>69</v>
      </c>
      <c r="C38" s="2" t="s">
        <v>14</v>
      </c>
      <c r="D38" s="2" t="s">
        <v>38</v>
      </c>
      <c r="E38" s="2" t="s">
        <v>26</v>
      </c>
      <c r="F38" s="2" t="s">
        <v>123</v>
      </c>
      <c r="G38" s="2" t="s">
        <v>82</v>
      </c>
      <c r="H38" s="10">
        <v>96.3</v>
      </c>
      <c r="I38" s="8">
        <v>4.865659397715473</v>
      </c>
      <c r="J38" s="8">
        <v>2.9767912772585667</v>
      </c>
      <c r="K38" s="12">
        <v>163.6957424714434</v>
      </c>
      <c r="L38" s="8"/>
      <c r="M38" s="8"/>
    </row>
    <row r="39" spans="1:13" ht="17.25" customHeight="1" x14ac:dyDescent="0.2">
      <c r="A39" s="2" t="s">
        <v>124</v>
      </c>
      <c r="B39" s="2" t="s">
        <v>69</v>
      </c>
      <c r="C39" s="2" t="s">
        <v>30</v>
      </c>
      <c r="D39" s="2" t="s">
        <v>53</v>
      </c>
      <c r="E39" s="2" t="s">
        <v>26</v>
      </c>
      <c r="F39" s="2" t="s">
        <v>17</v>
      </c>
      <c r="G39" s="2" t="s">
        <v>125</v>
      </c>
      <c r="H39" s="11">
        <v>3.4950000000000002E-2</v>
      </c>
      <c r="I39" s="8">
        <v>6.2</v>
      </c>
      <c r="J39" s="8">
        <v>1.37</v>
      </c>
      <c r="K39" s="9"/>
      <c r="L39" s="8"/>
      <c r="M39" s="8"/>
    </row>
    <row r="40" spans="1:13" ht="17.25" customHeight="1" x14ac:dyDescent="0.2">
      <c r="A40" s="2" t="s">
        <v>126</v>
      </c>
      <c r="B40" s="2" t="s">
        <v>69</v>
      </c>
      <c r="C40" s="2" t="s">
        <v>14</v>
      </c>
      <c r="D40" s="2" t="s">
        <v>38</v>
      </c>
      <c r="E40" s="2" t="s">
        <v>26</v>
      </c>
      <c r="F40" s="2" t="s">
        <v>127</v>
      </c>
      <c r="G40" s="2" t="s">
        <v>82</v>
      </c>
      <c r="H40" s="8">
        <v>17.600000000000001</v>
      </c>
      <c r="I40" s="10">
        <v>10.059090909090909</v>
      </c>
      <c r="J40" s="10">
        <v>1.4846590909090907</v>
      </c>
      <c r="K40" s="12">
        <v>37.284090909090907</v>
      </c>
      <c r="L40" s="8"/>
      <c r="M40" s="8"/>
    </row>
    <row r="41" spans="1:13" ht="17.25" customHeight="1" x14ac:dyDescent="0.2">
      <c r="A41" s="2" t="s">
        <v>128</v>
      </c>
      <c r="B41" s="2" t="s">
        <v>69</v>
      </c>
      <c r="C41" s="2" t="s">
        <v>24</v>
      </c>
      <c r="D41" s="2"/>
      <c r="E41" s="2" t="s">
        <v>26</v>
      </c>
      <c r="F41" s="2" t="s">
        <v>129</v>
      </c>
      <c r="G41" s="2" t="s">
        <v>71</v>
      </c>
      <c r="H41" s="8">
        <v>1.22</v>
      </c>
      <c r="I41" s="8">
        <v>0.4</v>
      </c>
      <c r="J41" s="8">
        <v>0.7</v>
      </c>
      <c r="K41" s="8">
        <v>8.1</v>
      </c>
      <c r="L41" s="8">
        <v>0.5</v>
      </c>
      <c r="M41" s="8">
        <v>0.8</v>
      </c>
    </row>
    <row r="42" spans="1:13" ht="17.25" customHeight="1" x14ac:dyDescent="0.2">
      <c r="A42" s="2" t="s">
        <v>130</v>
      </c>
      <c r="B42" s="2" t="s">
        <v>69</v>
      </c>
      <c r="C42" s="2" t="s">
        <v>24</v>
      </c>
      <c r="D42" s="2"/>
      <c r="E42" s="2" t="s">
        <v>26</v>
      </c>
      <c r="F42" s="2" t="s">
        <v>73</v>
      </c>
      <c r="G42" s="2" t="s">
        <v>74</v>
      </c>
      <c r="H42" s="11">
        <v>3.061798</v>
      </c>
      <c r="I42" s="8">
        <v>2.1</v>
      </c>
      <c r="J42" s="8">
        <v>1.48</v>
      </c>
      <c r="K42" s="8">
        <v>45.7</v>
      </c>
      <c r="L42" s="8"/>
      <c r="M42" s="8"/>
    </row>
    <row r="43" spans="1:13" ht="17.25" customHeight="1" x14ac:dyDescent="0.2">
      <c r="A43" s="2" t="s">
        <v>131</v>
      </c>
      <c r="B43" s="2" t="s">
        <v>69</v>
      </c>
      <c r="C43" s="2" t="s">
        <v>132</v>
      </c>
      <c r="D43" s="2"/>
      <c r="E43" s="2" t="s">
        <v>26</v>
      </c>
      <c r="F43" s="2" t="s">
        <v>133</v>
      </c>
      <c r="G43" s="2" t="s">
        <v>134</v>
      </c>
      <c r="H43" s="11">
        <v>3.1304010000000004</v>
      </c>
      <c r="I43" s="8">
        <v>1.2571781378807376</v>
      </c>
      <c r="J43" s="8">
        <v>0.56374705029802885</v>
      </c>
      <c r="K43" s="10">
        <v>95.442836173384833</v>
      </c>
      <c r="L43" s="8">
        <v>0.17848237015002227</v>
      </c>
      <c r="M43" s="8"/>
    </row>
    <row r="44" spans="1:13" ht="17.25" customHeight="1" x14ac:dyDescent="0.2">
      <c r="A44" s="2" t="s">
        <v>135</v>
      </c>
      <c r="B44" s="2" t="s">
        <v>69</v>
      </c>
      <c r="C44" s="2" t="s">
        <v>14</v>
      </c>
      <c r="D44" s="2" t="s">
        <v>38</v>
      </c>
      <c r="E44" s="2" t="s">
        <v>26</v>
      </c>
      <c r="F44" s="2" t="s">
        <v>115</v>
      </c>
      <c r="G44" s="2" t="s">
        <v>113</v>
      </c>
      <c r="H44" s="8">
        <v>7.8</v>
      </c>
      <c r="I44" s="10">
        <v>1</v>
      </c>
      <c r="J44" s="8">
        <v>4.2</v>
      </c>
      <c r="K44" s="9"/>
      <c r="L44" s="8"/>
      <c r="M44" s="8"/>
    </row>
    <row r="45" spans="1:13" ht="17.25" customHeight="1" x14ac:dyDescent="0.2">
      <c r="A45" s="2" t="s">
        <v>136</v>
      </c>
      <c r="B45" s="2" t="s">
        <v>69</v>
      </c>
      <c r="C45" s="2" t="s">
        <v>24</v>
      </c>
      <c r="D45" s="2"/>
      <c r="E45" s="7" t="s">
        <v>16</v>
      </c>
      <c r="F45" s="2" t="s">
        <v>137</v>
      </c>
      <c r="G45" s="2" t="s">
        <v>110</v>
      </c>
      <c r="H45" s="8">
        <v>0.76200000000000001</v>
      </c>
      <c r="I45" s="8">
        <v>0.3</v>
      </c>
      <c r="J45" s="8">
        <v>9.99</v>
      </c>
      <c r="K45" s="8">
        <v>14.5</v>
      </c>
      <c r="L45" s="8">
        <v>1.77</v>
      </c>
      <c r="M45" s="8"/>
    </row>
    <row r="46" spans="1:13" ht="17.25" customHeight="1" x14ac:dyDescent="0.2">
      <c r="A46" s="2" t="s">
        <v>138</v>
      </c>
      <c r="B46" s="2" t="s">
        <v>69</v>
      </c>
      <c r="C46" s="2" t="s">
        <v>24</v>
      </c>
      <c r="D46" s="2"/>
      <c r="E46" s="2" t="s">
        <v>26</v>
      </c>
      <c r="F46" s="2" t="s">
        <v>139</v>
      </c>
      <c r="G46" s="2" t="s">
        <v>71</v>
      </c>
      <c r="H46" s="8">
        <v>1.75</v>
      </c>
      <c r="I46" s="8"/>
      <c r="J46" s="8">
        <v>2.0499999999999998</v>
      </c>
      <c r="K46" s="8">
        <v>8.5</v>
      </c>
      <c r="L46" s="8">
        <v>1.71</v>
      </c>
      <c r="M46" s="8">
        <v>0.24</v>
      </c>
    </row>
    <row r="47" spans="1:13" ht="17.25" customHeight="1" x14ac:dyDescent="0.2">
      <c r="A47" s="2" t="s">
        <v>140</v>
      </c>
      <c r="B47" s="2" t="s">
        <v>69</v>
      </c>
      <c r="C47" s="2" t="s">
        <v>141</v>
      </c>
      <c r="D47" s="2" t="s">
        <v>142</v>
      </c>
      <c r="E47" s="2" t="s">
        <v>26</v>
      </c>
      <c r="F47" s="2" t="s">
        <v>143</v>
      </c>
      <c r="G47" s="2" t="s">
        <v>77</v>
      </c>
      <c r="H47" s="8">
        <v>19.93</v>
      </c>
      <c r="I47" s="8">
        <v>0.2</v>
      </c>
      <c r="J47" s="8">
        <v>0.5</v>
      </c>
      <c r="K47" s="8">
        <v>16.399999999999999</v>
      </c>
      <c r="L47" s="8"/>
      <c r="M47" s="8"/>
    </row>
    <row r="48" spans="1:13" ht="17.25" customHeight="1" x14ac:dyDescent="0.2">
      <c r="A48" s="2" t="s">
        <v>144</v>
      </c>
      <c r="B48" s="2" t="s">
        <v>69</v>
      </c>
      <c r="C48" s="2" t="s">
        <v>14</v>
      </c>
      <c r="D48" s="2" t="s">
        <v>38</v>
      </c>
      <c r="E48" s="2" t="s">
        <v>26</v>
      </c>
      <c r="F48" s="2" t="s">
        <v>127</v>
      </c>
      <c r="G48" s="2" t="s">
        <v>82</v>
      </c>
      <c r="H48" s="9">
        <v>63</v>
      </c>
      <c r="I48" s="10">
        <v>1.8079365079365077</v>
      </c>
      <c r="J48" s="10">
        <v>12.095238095238095</v>
      </c>
      <c r="K48" s="12">
        <v>31.523809523809526</v>
      </c>
      <c r="L48" s="8"/>
      <c r="M48" s="8"/>
    </row>
    <row r="49" spans="1:13" ht="17.25" customHeight="1" x14ac:dyDescent="0.2">
      <c r="A49" s="2" t="s">
        <v>145</v>
      </c>
      <c r="B49" s="2" t="s">
        <v>69</v>
      </c>
      <c r="C49" s="2" t="s">
        <v>24</v>
      </c>
      <c r="D49" s="2"/>
      <c r="E49" s="2" t="s">
        <v>26</v>
      </c>
      <c r="F49" s="2" t="s">
        <v>146</v>
      </c>
      <c r="G49" s="2" t="s">
        <v>80</v>
      </c>
      <c r="H49" s="8">
        <v>3.4</v>
      </c>
      <c r="I49" s="8">
        <v>0.64700000000000002</v>
      </c>
      <c r="J49" s="8">
        <v>1.6970000000000001</v>
      </c>
      <c r="K49" s="9">
        <v>14</v>
      </c>
      <c r="L49" s="8">
        <v>0.65600000000000003</v>
      </c>
      <c r="M49" s="8">
        <v>2.1999999999999999E-2</v>
      </c>
    </row>
    <row r="50" spans="1:13" ht="17.25" customHeight="1" x14ac:dyDescent="0.2">
      <c r="A50" s="2" t="s">
        <v>147</v>
      </c>
      <c r="B50" s="2" t="s">
        <v>69</v>
      </c>
      <c r="C50" s="2" t="s">
        <v>14</v>
      </c>
      <c r="D50" s="2"/>
      <c r="E50" s="2" t="s">
        <v>26</v>
      </c>
      <c r="F50" s="2" t="s">
        <v>17</v>
      </c>
      <c r="G50" s="2" t="s">
        <v>148</v>
      </c>
      <c r="H50" s="9">
        <v>17</v>
      </c>
      <c r="I50" s="8">
        <v>1.2</v>
      </c>
      <c r="J50" s="8"/>
      <c r="K50" s="9">
        <v>10</v>
      </c>
      <c r="L50" s="8"/>
      <c r="M50" s="8"/>
    </row>
    <row r="51" spans="1:13" ht="17.25" customHeight="1" x14ac:dyDescent="0.2">
      <c r="A51" s="2" t="s">
        <v>149</v>
      </c>
      <c r="B51" s="2" t="s">
        <v>69</v>
      </c>
      <c r="C51" s="2" t="s">
        <v>24</v>
      </c>
      <c r="D51" s="2"/>
      <c r="E51" s="2" t="s">
        <v>26</v>
      </c>
      <c r="F51" s="2" t="s">
        <v>150</v>
      </c>
      <c r="G51" s="2" t="s">
        <v>80</v>
      </c>
      <c r="H51" s="8">
        <v>4.7</v>
      </c>
      <c r="I51" s="8">
        <v>0.2</v>
      </c>
      <c r="J51" s="8">
        <v>4.5</v>
      </c>
      <c r="K51" s="9">
        <v>19</v>
      </c>
      <c r="L51" s="8">
        <v>0.33</v>
      </c>
      <c r="M51" s="8"/>
    </row>
    <row r="52" spans="1:13" ht="17.25" customHeight="1" x14ac:dyDescent="0.2">
      <c r="A52" s="2" t="s">
        <v>151</v>
      </c>
      <c r="B52" s="2" t="s">
        <v>69</v>
      </c>
      <c r="C52" s="2" t="s">
        <v>24</v>
      </c>
      <c r="D52" s="2"/>
      <c r="E52" s="2" t="s">
        <v>26</v>
      </c>
      <c r="F52" s="2" t="s">
        <v>105</v>
      </c>
      <c r="G52" s="2" t="s">
        <v>152</v>
      </c>
      <c r="H52" s="8">
        <v>17.399999999999999</v>
      </c>
      <c r="I52" s="10">
        <v>4.9344827586206899</v>
      </c>
      <c r="J52" s="10">
        <v>7.7603448275862075</v>
      </c>
      <c r="K52" s="10">
        <v>73.580459770114956</v>
      </c>
      <c r="L52" s="13">
        <v>0.18</v>
      </c>
      <c r="M52" s="8"/>
    </row>
    <row r="53" spans="1:13" ht="17.25" customHeight="1" x14ac:dyDescent="0.2">
      <c r="A53" s="2" t="s">
        <v>153</v>
      </c>
      <c r="B53" s="2" t="s">
        <v>69</v>
      </c>
      <c r="C53" s="2" t="s">
        <v>132</v>
      </c>
      <c r="D53" s="2"/>
      <c r="E53" s="7" t="s">
        <v>16</v>
      </c>
      <c r="F53" s="2" t="s">
        <v>120</v>
      </c>
      <c r="G53" s="2" t="s">
        <v>47</v>
      </c>
      <c r="H53" s="8">
        <v>7.4200000000000004E-3</v>
      </c>
      <c r="I53" s="8">
        <v>6.7</v>
      </c>
      <c r="J53" s="8">
        <v>3.7</v>
      </c>
      <c r="K53" s="9">
        <v>343</v>
      </c>
      <c r="L53" s="8"/>
      <c r="M53" s="8"/>
    </row>
    <row r="54" spans="1:13" ht="17.25" customHeight="1" x14ac:dyDescent="0.2">
      <c r="A54" s="2" t="s">
        <v>154</v>
      </c>
      <c r="B54" s="2" t="s">
        <v>69</v>
      </c>
      <c r="C54" s="2" t="s">
        <v>14</v>
      </c>
      <c r="D54" s="2" t="s">
        <v>38</v>
      </c>
      <c r="E54" s="2" t="s">
        <v>26</v>
      </c>
      <c r="F54" s="2" t="s">
        <v>155</v>
      </c>
      <c r="G54" s="2" t="s">
        <v>82</v>
      </c>
      <c r="H54" s="8">
        <v>11.868</v>
      </c>
      <c r="I54" s="8">
        <v>2</v>
      </c>
      <c r="J54" s="8">
        <v>3.24</v>
      </c>
      <c r="K54" s="8">
        <v>11.14</v>
      </c>
      <c r="L54" s="8">
        <v>0.1</v>
      </c>
      <c r="M54" s="8">
        <v>0.3</v>
      </c>
    </row>
    <row r="55" spans="1:13" ht="17.25" customHeight="1" x14ac:dyDescent="0.2">
      <c r="A55" s="2" t="s">
        <v>156</v>
      </c>
      <c r="B55" s="2" t="s">
        <v>69</v>
      </c>
      <c r="C55" s="2" t="s">
        <v>132</v>
      </c>
      <c r="D55" s="2"/>
      <c r="E55" s="2" t="s">
        <v>26</v>
      </c>
      <c r="F55" s="2" t="s">
        <v>17</v>
      </c>
      <c r="G55" s="2" t="s">
        <v>134</v>
      </c>
      <c r="H55" s="8">
        <v>0.56200000000000006</v>
      </c>
      <c r="I55" s="8"/>
      <c r="J55" s="8">
        <v>1.4</v>
      </c>
      <c r="K55" s="8">
        <v>36.4</v>
      </c>
      <c r="L55" s="8"/>
      <c r="M55" s="8"/>
    </row>
    <row r="56" spans="1:13" ht="17.25" customHeight="1" x14ac:dyDescent="0.2">
      <c r="A56" s="2" t="s">
        <v>157</v>
      </c>
      <c r="B56" s="2" t="s">
        <v>69</v>
      </c>
      <c r="C56" s="2" t="s">
        <v>14</v>
      </c>
      <c r="D56" s="2" t="s">
        <v>15</v>
      </c>
      <c r="E56" s="2" t="s">
        <v>26</v>
      </c>
      <c r="F56" s="2" t="s">
        <v>102</v>
      </c>
      <c r="G56" s="2" t="s">
        <v>71</v>
      </c>
      <c r="H56" s="8">
        <v>0.69399999999999995</v>
      </c>
      <c r="I56" s="8">
        <v>1.4</v>
      </c>
      <c r="J56" s="8">
        <v>30.2</v>
      </c>
      <c r="K56" s="9"/>
      <c r="L56" s="8"/>
      <c r="M56" s="8"/>
    </row>
    <row r="57" spans="1:13" ht="17.25" customHeight="1" x14ac:dyDescent="0.2">
      <c r="A57" s="2" t="s">
        <v>158</v>
      </c>
      <c r="B57" s="2" t="s">
        <v>69</v>
      </c>
      <c r="C57" s="2" t="s">
        <v>24</v>
      </c>
      <c r="D57" s="2"/>
      <c r="E57" s="2" t="s">
        <v>26</v>
      </c>
      <c r="F57" s="2" t="s">
        <v>159</v>
      </c>
      <c r="G57" s="2" t="s">
        <v>82</v>
      </c>
      <c r="H57" s="8">
        <v>0.42499999999999999</v>
      </c>
      <c r="I57" s="10">
        <v>6.2588235294117638</v>
      </c>
      <c r="J57" s="10">
        <v>11.352941176470589</v>
      </c>
      <c r="K57" s="12">
        <v>112.29411764705883</v>
      </c>
      <c r="L57" s="10">
        <v>0.4882352941176471</v>
      </c>
      <c r="M57" s="10">
        <v>2.2705882352941176</v>
      </c>
    </row>
    <row r="58" spans="1:13" ht="17.25" customHeight="1" x14ac:dyDescent="0.2">
      <c r="A58" s="2" t="s">
        <v>160</v>
      </c>
      <c r="B58" s="2" t="s">
        <v>69</v>
      </c>
      <c r="C58" s="2" t="s">
        <v>24</v>
      </c>
      <c r="D58" s="2"/>
      <c r="E58" s="2" t="s">
        <v>26</v>
      </c>
      <c r="F58" s="2" t="s">
        <v>127</v>
      </c>
      <c r="G58" s="2" t="s">
        <v>82</v>
      </c>
      <c r="H58" s="10">
        <v>26.1</v>
      </c>
      <c r="I58" s="10">
        <v>0.28505747126436776</v>
      </c>
      <c r="J58" s="10">
        <v>3.8551724137931029</v>
      </c>
      <c r="K58" s="12">
        <v>35.222222222222221</v>
      </c>
      <c r="L58" s="10">
        <v>2.2329501915708816</v>
      </c>
      <c r="M58" s="10">
        <v>0.66091954022988486</v>
      </c>
    </row>
    <row r="59" spans="1:13" ht="17.25" customHeight="1" x14ac:dyDescent="0.2">
      <c r="A59" s="2" t="s">
        <v>161</v>
      </c>
      <c r="B59" s="2" t="s">
        <v>69</v>
      </c>
      <c r="C59" s="2" t="s">
        <v>132</v>
      </c>
      <c r="D59" s="2" t="s">
        <v>162</v>
      </c>
      <c r="E59" s="2" t="s">
        <v>26</v>
      </c>
      <c r="F59" s="2" t="s">
        <v>17</v>
      </c>
      <c r="G59" s="2" t="s">
        <v>80</v>
      </c>
      <c r="H59" s="8">
        <v>0.45</v>
      </c>
      <c r="I59" s="8">
        <v>1.5</v>
      </c>
      <c r="J59" s="8">
        <v>1.25</v>
      </c>
      <c r="K59" s="9">
        <v>100</v>
      </c>
      <c r="L59" s="8"/>
      <c r="M59" s="8"/>
    </row>
    <row r="60" spans="1:13" ht="17.25" customHeight="1" x14ac:dyDescent="0.2">
      <c r="A60" s="2" t="s">
        <v>163</v>
      </c>
      <c r="B60" s="2" t="s">
        <v>69</v>
      </c>
      <c r="C60" s="2" t="s">
        <v>108</v>
      </c>
      <c r="D60" s="2"/>
      <c r="E60" s="2" t="s">
        <v>26</v>
      </c>
      <c r="F60" s="2" t="s">
        <v>164</v>
      </c>
      <c r="G60" s="2" t="s">
        <v>80</v>
      </c>
      <c r="H60" s="8">
        <v>6.7000000000000004E-2</v>
      </c>
      <c r="I60" s="8">
        <v>0.73</v>
      </c>
      <c r="J60" s="8">
        <v>0.25</v>
      </c>
      <c r="K60" s="9">
        <v>16</v>
      </c>
      <c r="L60" s="8"/>
      <c r="M60" s="8">
        <v>4.97</v>
      </c>
    </row>
    <row r="61" spans="1:13" ht="17.25" customHeight="1" x14ac:dyDescent="0.2">
      <c r="A61" s="2" t="s">
        <v>165</v>
      </c>
      <c r="B61" s="2" t="s">
        <v>69</v>
      </c>
      <c r="C61" s="2" t="s">
        <v>24</v>
      </c>
      <c r="D61" s="2"/>
      <c r="E61" s="2" t="s">
        <v>26</v>
      </c>
      <c r="F61" s="2" t="s">
        <v>166</v>
      </c>
      <c r="G61" s="2" t="s">
        <v>167</v>
      </c>
      <c r="H61" s="8">
        <v>0.2</v>
      </c>
      <c r="I61" s="8"/>
      <c r="J61" s="9">
        <v>5</v>
      </c>
      <c r="K61" s="9"/>
      <c r="L61" s="8"/>
      <c r="M61" s="8"/>
    </row>
    <row r="62" spans="1:13" ht="17.25" customHeight="1" x14ac:dyDescent="0.2">
      <c r="A62" s="2" t="s">
        <v>168</v>
      </c>
      <c r="B62" s="2" t="s">
        <v>69</v>
      </c>
      <c r="C62" s="2" t="s">
        <v>24</v>
      </c>
      <c r="D62" s="2"/>
      <c r="E62" s="2" t="s">
        <v>26</v>
      </c>
      <c r="F62" s="2" t="s">
        <v>159</v>
      </c>
      <c r="G62" s="2" t="s">
        <v>82</v>
      </c>
      <c r="H62" s="8">
        <v>0.75</v>
      </c>
      <c r="I62" s="10">
        <v>4.1320000000000006</v>
      </c>
      <c r="J62" s="10">
        <v>6.9906666666666668</v>
      </c>
      <c r="K62" s="12">
        <v>104.06666666666668</v>
      </c>
      <c r="L62" s="10">
        <v>0.3706666666666667</v>
      </c>
      <c r="M62" s="10">
        <v>1.3293333333333335</v>
      </c>
    </row>
    <row r="63" spans="1:13" ht="17.25" customHeight="1" x14ac:dyDescent="0.2">
      <c r="A63" s="2" t="s">
        <v>169</v>
      </c>
      <c r="B63" s="2" t="s">
        <v>69</v>
      </c>
      <c r="C63" s="15" t="s">
        <v>170</v>
      </c>
      <c r="D63" s="15" t="s">
        <v>170</v>
      </c>
      <c r="E63" s="15" t="s">
        <v>171</v>
      </c>
      <c r="F63" s="2" t="s">
        <v>172</v>
      </c>
      <c r="G63" s="2" t="s">
        <v>173</v>
      </c>
      <c r="H63" s="8">
        <v>9.5</v>
      </c>
      <c r="I63" s="10">
        <v>3</v>
      </c>
      <c r="J63" s="8">
        <v>2.5</v>
      </c>
      <c r="K63" s="9">
        <v>104</v>
      </c>
      <c r="L63" s="8">
        <v>0.2</v>
      </c>
      <c r="M63" s="8">
        <v>2.6</v>
      </c>
    </row>
    <row r="64" spans="1:13" ht="17.25" customHeight="1" x14ac:dyDescent="0.2">
      <c r="A64" s="2" t="s">
        <v>174</v>
      </c>
      <c r="B64" s="2" t="s">
        <v>69</v>
      </c>
      <c r="C64" s="2" t="s">
        <v>14</v>
      </c>
      <c r="D64" s="2" t="s">
        <v>38</v>
      </c>
      <c r="E64" s="2" t="s">
        <v>26</v>
      </c>
      <c r="F64" s="2" t="s">
        <v>175</v>
      </c>
      <c r="G64" s="2" t="s">
        <v>82</v>
      </c>
      <c r="H64" s="8">
        <v>2.444</v>
      </c>
      <c r="I64" s="8">
        <v>2.8</v>
      </c>
      <c r="J64" s="8">
        <v>3.8</v>
      </c>
      <c r="K64" s="8">
        <v>16.7</v>
      </c>
      <c r="L64" s="8">
        <v>0.2</v>
      </c>
      <c r="M64" s="8">
        <v>4.0999999999999996</v>
      </c>
    </row>
    <row r="65" spans="1:13" ht="17.25" customHeight="1" x14ac:dyDescent="0.2">
      <c r="A65" s="2" t="s">
        <v>176</v>
      </c>
      <c r="B65" s="2" t="s">
        <v>69</v>
      </c>
      <c r="C65" s="2" t="s">
        <v>24</v>
      </c>
      <c r="D65" s="2"/>
      <c r="E65" s="2" t="s">
        <v>26</v>
      </c>
      <c r="F65" s="2" t="s">
        <v>177</v>
      </c>
      <c r="G65" s="2" t="s">
        <v>125</v>
      </c>
      <c r="H65" s="8">
        <v>0.215</v>
      </c>
      <c r="I65" s="8">
        <v>1.5</v>
      </c>
      <c r="J65" s="8">
        <v>1.3</v>
      </c>
      <c r="K65" s="9">
        <v>23</v>
      </c>
      <c r="L65" s="8"/>
      <c r="M65" s="8">
        <v>3.5</v>
      </c>
    </row>
    <row r="66" spans="1:13" ht="17.25" customHeight="1" x14ac:dyDescent="0.2">
      <c r="A66" s="2" t="s">
        <v>178</v>
      </c>
      <c r="B66" s="2" t="s">
        <v>69</v>
      </c>
      <c r="C66" s="2" t="s">
        <v>14</v>
      </c>
      <c r="D66" s="2" t="s">
        <v>38</v>
      </c>
      <c r="E66" s="2" t="s">
        <v>26</v>
      </c>
      <c r="F66" s="2" t="s">
        <v>179</v>
      </c>
      <c r="G66" s="2" t="s">
        <v>180</v>
      </c>
      <c r="H66" s="8">
        <v>4.7</v>
      </c>
      <c r="I66" s="10">
        <v>2.0170212765957447</v>
      </c>
      <c r="J66" s="10">
        <v>4.8106382978723401</v>
      </c>
      <c r="K66" s="10">
        <v>48.106382978723396</v>
      </c>
      <c r="L66" s="8">
        <v>0.2</v>
      </c>
      <c r="M66" s="8"/>
    </row>
    <row r="67" spans="1:13" ht="17.25" customHeight="1" x14ac:dyDescent="0.2">
      <c r="A67" s="2" t="s">
        <v>181</v>
      </c>
      <c r="B67" s="2" t="s">
        <v>69</v>
      </c>
      <c r="C67" s="2" t="s">
        <v>24</v>
      </c>
      <c r="D67" s="2"/>
      <c r="E67" s="2" t="s">
        <v>26</v>
      </c>
      <c r="F67" s="2" t="s">
        <v>98</v>
      </c>
      <c r="G67" s="2" t="s">
        <v>82</v>
      </c>
      <c r="H67" s="8">
        <v>0.47499999999999998</v>
      </c>
      <c r="I67" s="8"/>
      <c r="J67" s="8">
        <v>2.8</v>
      </c>
      <c r="K67" s="9">
        <v>39</v>
      </c>
      <c r="L67" s="8">
        <v>2.2000000000000002</v>
      </c>
      <c r="M67" s="8"/>
    </row>
    <row r="68" spans="1:13" ht="17.25" customHeight="1" x14ac:dyDescent="0.2">
      <c r="A68" s="2" t="s">
        <v>182</v>
      </c>
      <c r="B68" s="2" t="s">
        <v>69</v>
      </c>
      <c r="C68" s="2" t="s">
        <v>24</v>
      </c>
      <c r="D68" s="2" t="s">
        <v>183</v>
      </c>
      <c r="E68" s="2" t="s">
        <v>26</v>
      </c>
      <c r="F68" s="2" t="s">
        <v>184</v>
      </c>
      <c r="G68" s="2" t="s">
        <v>71</v>
      </c>
      <c r="H68" s="10">
        <v>1</v>
      </c>
      <c r="I68" s="8">
        <v>2.58</v>
      </c>
      <c r="J68" s="8">
        <v>2.21</v>
      </c>
      <c r="K68" s="8">
        <v>73.2</v>
      </c>
      <c r="L68" s="8">
        <v>0.89</v>
      </c>
      <c r="M68" s="8"/>
    </row>
    <row r="69" spans="1:13" ht="17.25" customHeight="1" x14ac:dyDescent="0.2">
      <c r="A69" s="2" t="s">
        <v>185</v>
      </c>
      <c r="B69" s="2" t="s">
        <v>69</v>
      </c>
      <c r="C69" s="2" t="s">
        <v>14</v>
      </c>
      <c r="D69" s="2" t="s">
        <v>15</v>
      </c>
      <c r="E69" s="2" t="s">
        <v>26</v>
      </c>
      <c r="F69" s="2" t="s">
        <v>186</v>
      </c>
      <c r="G69" s="2" t="s">
        <v>82</v>
      </c>
      <c r="H69" s="8">
        <v>10.4</v>
      </c>
      <c r="I69" s="8">
        <v>0.2</v>
      </c>
      <c r="J69" s="8">
        <v>2.7</v>
      </c>
      <c r="K69" s="9">
        <v>1</v>
      </c>
      <c r="L69" s="8"/>
      <c r="M69" s="8"/>
    </row>
    <row r="70" spans="1:13" ht="17.25" customHeight="1" x14ac:dyDescent="0.2">
      <c r="A70" s="2" t="s">
        <v>187</v>
      </c>
      <c r="B70" s="2" t="s">
        <v>69</v>
      </c>
      <c r="C70" s="2" t="s">
        <v>24</v>
      </c>
      <c r="D70" s="2"/>
      <c r="E70" s="2" t="s">
        <v>26</v>
      </c>
      <c r="F70" s="2" t="s">
        <v>188</v>
      </c>
      <c r="G70" s="2" t="s">
        <v>82</v>
      </c>
      <c r="H70" s="8">
        <v>6.3</v>
      </c>
      <c r="I70" s="8"/>
      <c r="J70" s="8">
        <v>3.3</v>
      </c>
      <c r="K70" s="8">
        <v>12.1</v>
      </c>
      <c r="L70" s="8">
        <v>0.5</v>
      </c>
      <c r="M70" s="8"/>
    </row>
    <row r="71" spans="1:13" ht="17.25" customHeight="1" x14ac:dyDescent="0.2">
      <c r="A71" s="2" t="s">
        <v>189</v>
      </c>
      <c r="B71" s="2" t="s">
        <v>69</v>
      </c>
      <c r="C71" s="2" t="s">
        <v>42</v>
      </c>
      <c r="D71" s="2" t="s">
        <v>190</v>
      </c>
      <c r="E71" s="2" t="s">
        <v>26</v>
      </c>
      <c r="F71" s="2" t="s">
        <v>191</v>
      </c>
      <c r="G71" s="2" t="s">
        <v>77</v>
      </c>
      <c r="H71" s="8">
        <v>2.75</v>
      </c>
      <c r="I71" s="10">
        <v>1</v>
      </c>
      <c r="J71" s="8">
        <v>1.3</v>
      </c>
      <c r="K71" s="9">
        <v>24</v>
      </c>
      <c r="L71" s="8">
        <v>0.18</v>
      </c>
      <c r="M71" s="8">
        <v>0.5</v>
      </c>
    </row>
    <row r="72" spans="1:13" ht="17.25" customHeight="1" x14ac:dyDescent="0.2">
      <c r="A72" s="2" t="s">
        <v>192</v>
      </c>
      <c r="B72" s="2" t="s">
        <v>69</v>
      </c>
      <c r="C72" s="2" t="s">
        <v>24</v>
      </c>
      <c r="D72" s="2"/>
      <c r="E72" s="2" t="s">
        <v>26</v>
      </c>
      <c r="F72" s="2" t="s">
        <v>193</v>
      </c>
      <c r="G72" s="2" t="s">
        <v>77</v>
      </c>
      <c r="H72" s="8">
        <v>21.8</v>
      </c>
      <c r="I72" s="8">
        <v>0.44935779816513766</v>
      </c>
      <c r="J72" s="10">
        <v>0.9422018348623854</v>
      </c>
      <c r="K72" s="12">
        <v>47.027522935779814</v>
      </c>
      <c r="L72" s="8"/>
      <c r="M72" s="8">
        <v>0.12449541284403672</v>
      </c>
    </row>
    <row r="73" spans="1:13" ht="17.25" customHeight="1" x14ac:dyDescent="0.2">
      <c r="A73" s="2" t="s">
        <v>194</v>
      </c>
      <c r="B73" s="2" t="s">
        <v>69</v>
      </c>
      <c r="C73" s="2" t="s">
        <v>24</v>
      </c>
      <c r="D73" s="2"/>
      <c r="E73" s="2" t="s">
        <v>26</v>
      </c>
      <c r="F73" s="2" t="s">
        <v>195</v>
      </c>
      <c r="G73" s="2" t="s">
        <v>167</v>
      </c>
      <c r="H73" s="8">
        <v>5.75</v>
      </c>
      <c r="I73" s="8"/>
      <c r="J73" s="8">
        <v>0.34747826086956524</v>
      </c>
      <c r="K73" s="8">
        <v>2.3021043478260865</v>
      </c>
      <c r="L73" s="8">
        <v>1.0313043478260868</v>
      </c>
      <c r="M73" s="8">
        <v>5.0504347826086954E-2</v>
      </c>
    </row>
    <row r="74" spans="1:13" ht="17.25" customHeight="1" x14ac:dyDescent="0.2">
      <c r="A74" s="2" t="s">
        <v>196</v>
      </c>
      <c r="B74" s="2" t="s">
        <v>69</v>
      </c>
      <c r="C74" s="2" t="s">
        <v>24</v>
      </c>
      <c r="D74" s="2"/>
      <c r="E74" s="2" t="s">
        <v>26</v>
      </c>
      <c r="F74" s="2" t="s">
        <v>197</v>
      </c>
      <c r="G74" s="2" t="s">
        <v>198</v>
      </c>
      <c r="H74" s="8">
        <v>5.1579999999999995</v>
      </c>
      <c r="I74" s="8"/>
      <c r="J74" s="8">
        <v>1.8769988367584336</v>
      </c>
      <c r="K74" s="9"/>
      <c r="L74" s="8">
        <v>0.14899961225281116</v>
      </c>
      <c r="M74" s="8"/>
    </row>
    <row r="75" spans="1:13" ht="17.25" customHeight="1" x14ac:dyDescent="0.2">
      <c r="A75" s="2" t="s">
        <v>199</v>
      </c>
      <c r="B75" s="2" t="s">
        <v>69</v>
      </c>
      <c r="C75" s="2" t="s">
        <v>14</v>
      </c>
      <c r="D75" s="2" t="s">
        <v>38</v>
      </c>
      <c r="E75" s="2" t="s">
        <v>26</v>
      </c>
      <c r="F75" s="2" t="s">
        <v>39</v>
      </c>
      <c r="G75" s="2" t="s">
        <v>200</v>
      </c>
      <c r="H75" s="8">
        <v>14.27</v>
      </c>
      <c r="I75" s="10">
        <v>5.7275122634898388</v>
      </c>
      <c r="J75" s="10">
        <v>16.069796776454101</v>
      </c>
      <c r="K75" s="12">
        <v>97.498948843728101</v>
      </c>
      <c r="L75" s="8"/>
      <c r="M75" s="8"/>
    </row>
    <row r="76" spans="1:13" ht="17.25" customHeight="1" x14ac:dyDescent="0.2">
      <c r="A76" s="2" t="s">
        <v>201</v>
      </c>
      <c r="B76" s="2" t="s">
        <v>69</v>
      </c>
      <c r="C76" s="2" t="s">
        <v>14</v>
      </c>
      <c r="D76" s="2" t="s">
        <v>15</v>
      </c>
      <c r="E76" s="2" t="s">
        <v>26</v>
      </c>
      <c r="F76" s="2" t="s">
        <v>202</v>
      </c>
      <c r="G76" s="2" t="s">
        <v>80</v>
      </c>
      <c r="H76" s="8">
        <v>14.99</v>
      </c>
      <c r="I76" s="8">
        <v>4.28</v>
      </c>
      <c r="J76" s="8">
        <v>4.6859999999999999</v>
      </c>
      <c r="K76" s="9">
        <v>16</v>
      </c>
      <c r="L76" s="8"/>
      <c r="M76" s="8"/>
    </row>
    <row r="77" spans="1:13" ht="17.25" customHeight="1" x14ac:dyDescent="0.2">
      <c r="A77" s="2" t="s">
        <v>203</v>
      </c>
      <c r="B77" s="2" t="s">
        <v>69</v>
      </c>
      <c r="C77" s="2" t="s">
        <v>24</v>
      </c>
      <c r="D77" s="2"/>
      <c r="E77" s="2" t="s">
        <v>26</v>
      </c>
      <c r="F77" s="2" t="s">
        <v>204</v>
      </c>
      <c r="G77" s="2" t="s">
        <v>82</v>
      </c>
      <c r="H77" s="8">
        <v>1.8</v>
      </c>
      <c r="I77" s="8">
        <v>1.4</v>
      </c>
      <c r="J77" s="8">
        <v>5.0999999999999996</v>
      </c>
      <c r="K77" s="9">
        <v>82</v>
      </c>
      <c r="L77" s="8">
        <v>0.2</v>
      </c>
      <c r="M77" s="8">
        <v>0.26</v>
      </c>
    </row>
    <row r="78" spans="1:13" ht="17.25" customHeight="1" x14ac:dyDescent="0.2">
      <c r="A78" s="2" t="s">
        <v>205</v>
      </c>
      <c r="B78" s="2" t="s">
        <v>69</v>
      </c>
      <c r="C78" s="2" t="s">
        <v>24</v>
      </c>
      <c r="D78" s="2"/>
      <c r="E78" s="2" t="s">
        <v>26</v>
      </c>
      <c r="F78" s="2" t="s">
        <v>206</v>
      </c>
      <c r="G78" s="2" t="s">
        <v>82</v>
      </c>
      <c r="H78" s="8">
        <v>6.6199999999999992</v>
      </c>
      <c r="I78" s="10">
        <v>1.420392749244713</v>
      </c>
      <c r="J78" s="10">
        <v>2.4244712990936557</v>
      </c>
      <c r="K78" s="12">
        <v>69.141993957703932</v>
      </c>
      <c r="L78" s="10">
        <v>0.19592145015105741</v>
      </c>
      <c r="M78" s="10">
        <v>1.4836858006042297</v>
      </c>
    </row>
    <row r="79" spans="1:13" ht="17.25" customHeight="1" x14ac:dyDescent="0.2">
      <c r="A79" s="2" t="s">
        <v>207</v>
      </c>
      <c r="B79" s="2" t="s">
        <v>69</v>
      </c>
      <c r="C79" s="2" t="s">
        <v>24</v>
      </c>
      <c r="D79" s="2"/>
      <c r="E79" s="2" t="s">
        <v>26</v>
      </c>
      <c r="F79" s="2" t="s">
        <v>188</v>
      </c>
      <c r="G79" s="2" t="s">
        <v>82</v>
      </c>
      <c r="H79" s="8">
        <v>0.65700000000000003</v>
      </c>
      <c r="I79" s="8">
        <v>0.3</v>
      </c>
      <c r="J79" s="8">
        <v>3.7</v>
      </c>
      <c r="K79" s="8">
        <v>35.9</v>
      </c>
      <c r="L79" s="8">
        <v>1.8</v>
      </c>
      <c r="M79" s="8">
        <v>0.8</v>
      </c>
    </row>
    <row r="80" spans="1:13" ht="17.25" customHeight="1" x14ac:dyDescent="0.2">
      <c r="A80" s="2" t="s">
        <v>208</v>
      </c>
      <c r="B80" s="2" t="s">
        <v>69</v>
      </c>
      <c r="C80" s="2" t="s">
        <v>14</v>
      </c>
      <c r="D80" s="2" t="s">
        <v>209</v>
      </c>
      <c r="E80" s="2" t="s">
        <v>26</v>
      </c>
      <c r="F80" s="2" t="s">
        <v>210</v>
      </c>
      <c r="G80" s="2" t="s">
        <v>82</v>
      </c>
      <c r="H80" s="8">
        <v>51.1</v>
      </c>
      <c r="I80" s="10">
        <v>4.3146771037181981</v>
      </c>
      <c r="J80" s="8"/>
      <c r="K80" s="9"/>
      <c r="L80" s="8"/>
      <c r="M80" s="8"/>
    </row>
    <row r="81" spans="1:13" ht="17.25" customHeight="1" x14ac:dyDescent="0.2">
      <c r="A81" s="2" t="s">
        <v>211</v>
      </c>
      <c r="B81" s="2" t="s">
        <v>69</v>
      </c>
      <c r="C81" s="2" t="s">
        <v>24</v>
      </c>
      <c r="D81" s="2"/>
      <c r="E81" s="2" t="s">
        <v>26</v>
      </c>
      <c r="F81" s="2" t="s">
        <v>212</v>
      </c>
      <c r="G81" s="2" t="s">
        <v>82</v>
      </c>
      <c r="H81" s="11">
        <v>1.3540000000000001</v>
      </c>
      <c r="I81" s="8"/>
      <c r="J81" s="8">
        <v>6.04</v>
      </c>
      <c r="K81" s="8">
        <v>3.4</v>
      </c>
      <c r="L81" s="8">
        <v>0.25</v>
      </c>
      <c r="M81" s="8">
        <v>0.25</v>
      </c>
    </row>
    <row r="82" spans="1:13" ht="17.25" customHeight="1" x14ac:dyDescent="0.2">
      <c r="A82" s="2" t="s">
        <v>213</v>
      </c>
      <c r="B82" s="2" t="s">
        <v>69</v>
      </c>
      <c r="C82" s="2" t="s">
        <v>14</v>
      </c>
      <c r="D82" s="2" t="s">
        <v>38</v>
      </c>
      <c r="E82" s="7" t="s">
        <v>16</v>
      </c>
      <c r="F82" s="2" t="s">
        <v>17</v>
      </c>
      <c r="G82" s="2" t="s">
        <v>214</v>
      </c>
      <c r="H82" s="8">
        <v>1.8</v>
      </c>
      <c r="I82" s="8"/>
      <c r="J82" s="8">
        <v>4.4000000000000004</v>
      </c>
      <c r="K82" s="9"/>
      <c r="L82" s="8"/>
      <c r="M82" s="8"/>
    </row>
    <row r="83" spans="1:13" ht="17.25" customHeight="1" x14ac:dyDescent="0.2">
      <c r="A83" s="2" t="s">
        <v>215</v>
      </c>
      <c r="B83" s="2" t="s">
        <v>69</v>
      </c>
      <c r="C83" s="2" t="s">
        <v>24</v>
      </c>
      <c r="D83" s="2"/>
      <c r="E83" s="2" t="s">
        <v>26</v>
      </c>
      <c r="F83" s="2" t="s">
        <v>73</v>
      </c>
      <c r="G83" s="2" t="s">
        <v>74</v>
      </c>
      <c r="H83" s="8">
        <v>0.57399999999999995</v>
      </c>
      <c r="I83" s="8">
        <v>5.0999999999999996</v>
      </c>
      <c r="J83" s="8">
        <v>1.9</v>
      </c>
      <c r="K83" s="10">
        <v>60</v>
      </c>
      <c r="L83" s="8"/>
      <c r="M83" s="8"/>
    </row>
    <row r="84" spans="1:13" ht="17.25" customHeight="1" x14ac:dyDescent="0.2">
      <c r="A84" s="2" t="s">
        <v>216</v>
      </c>
      <c r="B84" s="2" t="s">
        <v>69</v>
      </c>
      <c r="C84" s="2" t="s">
        <v>132</v>
      </c>
      <c r="D84" s="2"/>
      <c r="E84" s="2" t="s">
        <v>26</v>
      </c>
      <c r="F84" s="2" t="s">
        <v>217</v>
      </c>
      <c r="G84" s="2" t="s">
        <v>218</v>
      </c>
      <c r="H84" s="8">
        <v>4.9000000000000004</v>
      </c>
      <c r="I84" s="8"/>
      <c r="J84" s="10">
        <v>0.59673469387755107</v>
      </c>
      <c r="K84" s="10">
        <v>8.2673469387755105</v>
      </c>
      <c r="L84" s="10">
        <v>0.3448979591836735</v>
      </c>
      <c r="M84" s="10">
        <v>0.5714285714285714</v>
      </c>
    </row>
    <row r="85" spans="1:13" ht="17.25" customHeight="1" x14ac:dyDescent="0.2">
      <c r="A85" s="2" t="s">
        <v>219</v>
      </c>
      <c r="B85" s="2" t="s">
        <v>69</v>
      </c>
      <c r="C85" s="2" t="s">
        <v>14</v>
      </c>
      <c r="D85" s="2" t="s">
        <v>38</v>
      </c>
      <c r="E85" s="2" t="s">
        <v>26</v>
      </c>
      <c r="F85" s="2" t="s">
        <v>39</v>
      </c>
      <c r="G85" s="2" t="s">
        <v>200</v>
      </c>
      <c r="H85" s="9">
        <v>194</v>
      </c>
      <c r="I85" s="10">
        <v>4.0495360824742272</v>
      </c>
      <c r="J85" s="10">
        <v>9.2061855670103085</v>
      </c>
      <c r="K85" s="10">
        <v>40.968041237113397</v>
      </c>
      <c r="L85" s="8"/>
      <c r="M85" s="8"/>
    </row>
    <row r="86" spans="1:13" ht="17.25" customHeight="1" x14ac:dyDescent="0.2">
      <c r="A86" s="2" t="s">
        <v>220</v>
      </c>
      <c r="B86" s="2" t="s">
        <v>69</v>
      </c>
      <c r="C86" s="2" t="s">
        <v>14</v>
      </c>
      <c r="D86" s="2" t="s">
        <v>38</v>
      </c>
      <c r="E86" s="2" t="s">
        <v>26</v>
      </c>
      <c r="F86" s="2" t="s">
        <v>31</v>
      </c>
      <c r="G86" s="2" t="s">
        <v>82</v>
      </c>
      <c r="H86" s="8">
        <v>7.7</v>
      </c>
      <c r="I86" s="8">
        <v>2.6</v>
      </c>
      <c r="J86" s="8">
        <v>3.1</v>
      </c>
      <c r="K86" s="9">
        <v>27</v>
      </c>
      <c r="L86" s="8"/>
      <c r="M86" s="8"/>
    </row>
    <row r="87" spans="1:13" ht="17.25" customHeight="1" x14ac:dyDescent="0.2">
      <c r="A87" s="2" t="s">
        <v>221</v>
      </c>
      <c r="B87" s="2" t="s">
        <v>69</v>
      </c>
      <c r="C87" s="2" t="s">
        <v>222</v>
      </c>
      <c r="D87" s="2" t="s">
        <v>223</v>
      </c>
      <c r="E87" s="2" t="s">
        <v>26</v>
      </c>
      <c r="F87" s="2" t="s">
        <v>224</v>
      </c>
      <c r="G87" s="2" t="s">
        <v>225</v>
      </c>
      <c r="H87" s="8">
        <f>6.5+0.2+0.015</f>
        <v>6.7149999999999999</v>
      </c>
      <c r="I87" s="8">
        <f>(0.02*6.5+0.02*0.2+0.01*0.015)/$H87</f>
        <v>1.9977661950856294E-2</v>
      </c>
      <c r="J87" s="8">
        <f>(0.14*6.5+0.24*0.2+0*0.015)/$H87</f>
        <v>0.14266567386448253</v>
      </c>
      <c r="K87" s="10">
        <f>(8.3*6.5+8.2*0.2+25*0.015)/$H87</f>
        <v>8.3343261355174985</v>
      </c>
      <c r="L87" s="8">
        <f>(0.33*6.5+0.44*0.2+2.29*0.015)/$H87</f>
        <v>0.33765450483991066</v>
      </c>
      <c r="M87" s="8">
        <f>(0.08*6.5+0.13*0.2+0.63*0.015)/$H87</f>
        <v>8.271779597915116E-2</v>
      </c>
    </row>
    <row r="88" spans="1:13" ht="17.25" customHeight="1" x14ac:dyDescent="0.2">
      <c r="A88" s="2" t="s">
        <v>226</v>
      </c>
      <c r="B88" s="2" t="s">
        <v>69</v>
      </c>
      <c r="C88" s="2" t="s">
        <v>24</v>
      </c>
      <c r="D88" s="2"/>
      <c r="E88" s="2" t="s">
        <v>26</v>
      </c>
      <c r="F88" s="2" t="s">
        <v>188</v>
      </c>
      <c r="G88" s="2" t="s">
        <v>82</v>
      </c>
      <c r="H88" s="8">
        <v>4.6070000000000002</v>
      </c>
      <c r="I88" s="8">
        <v>0.5</v>
      </c>
      <c r="J88" s="8">
        <v>1.3</v>
      </c>
      <c r="K88" s="8">
        <v>24.1</v>
      </c>
      <c r="L88" s="8">
        <v>0.9</v>
      </c>
      <c r="M88" s="8">
        <v>0.1</v>
      </c>
    </row>
    <row r="89" spans="1:13" ht="17.25" customHeight="1" x14ac:dyDescent="0.2">
      <c r="A89" s="2" t="s">
        <v>227</v>
      </c>
      <c r="B89" s="2" t="s">
        <v>69</v>
      </c>
      <c r="C89" s="2" t="s">
        <v>132</v>
      </c>
      <c r="D89" s="2"/>
      <c r="E89" s="2" t="s">
        <v>26</v>
      </c>
      <c r="F89" s="2" t="s">
        <v>179</v>
      </c>
      <c r="G89" s="2" t="s">
        <v>228</v>
      </c>
      <c r="H89" s="8">
        <v>1.93</v>
      </c>
      <c r="I89" s="8">
        <v>0.3</v>
      </c>
      <c r="J89" s="8">
        <v>5.4</v>
      </c>
      <c r="K89" s="9">
        <v>21</v>
      </c>
      <c r="L89" s="8">
        <v>0.6</v>
      </c>
      <c r="M89" s="8">
        <v>0.1</v>
      </c>
    </row>
    <row r="90" spans="1:13" ht="17.25" customHeight="1" x14ac:dyDescent="0.2">
      <c r="A90" s="2" t="s">
        <v>229</v>
      </c>
      <c r="B90" s="2" t="s">
        <v>69</v>
      </c>
      <c r="C90" s="2" t="s">
        <v>42</v>
      </c>
      <c r="D90" s="2" t="s">
        <v>230</v>
      </c>
      <c r="E90" s="2" t="s">
        <v>26</v>
      </c>
      <c r="F90" s="2" t="s">
        <v>231</v>
      </c>
      <c r="G90" s="2" t="s">
        <v>80</v>
      </c>
      <c r="H90" s="11">
        <v>0.124</v>
      </c>
      <c r="I90" s="8">
        <v>0.53870967741935483</v>
      </c>
      <c r="J90" s="10">
        <v>2.6612903225806455</v>
      </c>
      <c r="K90" s="12">
        <v>25.258064516129032</v>
      </c>
      <c r="L90" s="8">
        <v>0.31048387096774194</v>
      </c>
      <c r="M90" s="8">
        <v>0.19564516129032258</v>
      </c>
    </row>
    <row r="91" spans="1:13" ht="17.25" customHeight="1" x14ac:dyDescent="0.2">
      <c r="A91" s="2" t="s">
        <v>232</v>
      </c>
      <c r="B91" s="2" t="s">
        <v>69</v>
      </c>
      <c r="C91" s="2" t="s">
        <v>24</v>
      </c>
      <c r="D91" s="2"/>
      <c r="E91" s="2" t="s">
        <v>26</v>
      </c>
      <c r="F91" s="2" t="s">
        <v>233</v>
      </c>
      <c r="G91" s="2" t="s">
        <v>234</v>
      </c>
      <c r="H91" s="8">
        <v>1.3</v>
      </c>
      <c r="I91" s="8"/>
      <c r="J91" s="8">
        <v>0.4</v>
      </c>
      <c r="K91" s="9">
        <v>6</v>
      </c>
      <c r="L91" s="10">
        <v>2</v>
      </c>
      <c r="M91" s="8">
        <v>0.5</v>
      </c>
    </row>
    <row r="92" spans="1:13" ht="17.25" customHeight="1" x14ac:dyDescent="0.2">
      <c r="A92" s="2" t="s">
        <v>235</v>
      </c>
      <c r="B92" s="2" t="s">
        <v>69</v>
      </c>
      <c r="C92" s="2" t="s">
        <v>24</v>
      </c>
      <c r="D92" s="2"/>
      <c r="E92" s="7" t="s">
        <v>16</v>
      </c>
      <c r="F92" s="2" t="s">
        <v>120</v>
      </c>
      <c r="G92" s="2" t="s">
        <v>121</v>
      </c>
      <c r="H92" s="8">
        <v>0.65</v>
      </c>
      <c r="I92" s="10">
        <v>2</v>
      </c>
      <c r="J92" s="10">
        <v>9</v>
      </c>
      <c r="K92" s="9">
        <v>280</v>
      </c>
      <c r="L92" s="8">
        <v>0.5</v>
      </c>
      <c r="M92" s="8">
        <v>1.7</v>
      </c>
    </row>
    <row r="93" spans="1:13" ht="17.25" customHeight="1" x14ac:dyDescent="0.2">
      <c r="A93" s="2" t="s">
        <v>236</v>
      </c>
      <c r="B93" s="2" t="s">
        <v>69</v>
      </c>
      <c r="C93" s="2" t="s">
        <v>24</v>
      </c>
      <c r="D93" s="2"/>
      <c r="E93" s="2" t="s">
        <v>26</v>
      </c>
      <c r="F93" s="2" t="s">
        <v>159</v>
      </c>
      <c r="G93" s="2" t="s">
        <v>71</v>
      </c>
      <c r="H93" s="8">
        <v>6.1</v>
      </c>
      <c r="I93" s="8"/>
      <c r="J93" s="8">
        <v>0.5</v>
      </c>
      <c r="K93" s="9">
        <v>36</v>
      </c>
      <c r="L93" s="8"/>
      <c r="M93" s="8">
        <v>1.2</v>
      </c>
    </row>
    <row r="94" spans="1:13" ht="17.25" customHeight="1" x14ac:dyDescent="0.2">
      <c r="A94" s="2" t="s">
        <v>237</v>
      </c>
      <c r="B94" s="2" t="s">
        <v>69</v>
      </c>
      <c r="C94" s="2" t="s">
        <v>30</v>
      </c>
      <c r="D94" s="2" t="s">
        <v>53</v>
      </c>
      <c r="E94" s="2" t="s">
        <v>26</v>
      </c>
      <c r="F94" s="2" t="s">
        <v>238</v>
      </c>
      <c r="G94" s="2" t="s">
        <v>134</v>
      </c>
      <c r="H94" s="8">
        <v>0.60699999999999998</v>
      </c>
      <c r="I94" s="8">
        <v>2.4</v>
      </c>
      <c r="J94" s="8"/>
      <c r="K94" s="9">
        <v>26</v>
      </c>
      <c r="L94" s="8"/>
      <c r="M94" s="8">
        <v>0.22</v>
      </c>
    </row>
    <row r="95" spans="1:13" ht="17.25" customHeight="1" x14ac:dyDescent="0.2">
      <c r="A95" s="2" t="s">
        <v>239</v>
      </c>
      <c r="B95" s="2" t="s">
        <v>69</v>
      </c>
      <c r="C95" s="2" t="s">
        <v>222</v>
      </c>
      <c r="D95" s="2"/>
      <c r="E95" s="2" t="s">
        <v>26</v>
      </c>
      <c r="F95" s="2" t="s">
        <v>224</v>
      </c>
      <c r="G95" s="2" t="s">
        <v>225</v>
      </c>
      <c r="H95" s="8">
        <f>25.3+22.9+47.2+15.4+14+19.5</f>
        <v>144.30000000000001</v>
      </c>
      <c r="I95" s="8">
        <f>(0.09*25.3+0.12*22.9+0.01*47.2+0.03*15.4+0.04*14+0.06*19.5)/$H95</f>
        <v>5.3284823284823278E-2</v>
      </c>
      <c r="J95" s="8">
        <f>(0.49*25.3+0.62*22.9+0.07*47.2+0.18*15.4+0.36*14+0.3*19.5)/$H95</f>
        <v>0.30187803187803186</v>
      </c>
      <c r="K95" s="10">
        <f>(6.4*25.3+7.4*22.9+3.9*47.2+6.4*15.4+7.8*14+6.6*19.5)/$H95</f>
        <v>5.9038115038115038</v>
      </c>
      <c r="L95" s="8">
        <f>(0.44*25.3+0.4*22.9+0.63*47.2+0.55*15.4+0.52*14+0.5*19.5)/$H95</f>
        <v>0.52340956340956346</v>
      </c>
      <c r="M95" s="8">
        <f>(0.1*25.3+0.11*22.9+0.07*47.2+0.11*15.4+0.13*14+0.11*19.5)/$H95</f>
        <v>9.7103257103257096E-2</v>
      </c>
    </row>
    <row r="96" spans="1:13" ht="17.25" customHeight="1" x14ac:dyDescent="0.2">
      <c r="A96" s="2" t="s">
        <v>240</v>
      </c>
      <c r="B96" s="2" t="s">
        <v>69</v>
      </c>
      <c r="C96" s="2" t="s">
        <v>132</v>
      </c>
      <c r="D96" s="2"/>
      <c r="E96" s="2" t="s">
        <v>26</v>
      </c>
      <c r="F96" s="2" t="s">
        <v>70</v>
      </c>
      <c r="G96" s="2" t="s">
        <v>71</v>
      </c>
      <c r="H96" s="11">
        <v>9.6332330000000006</v>
      </c>
      <c r="I96" s="8">
        <v>0.38967322808448629</v>
      </c>
      <c r="J96" s="8">
        <v>7.7995773277777039</v>
      </c>
      <c r="K96" s="10">
        <v>35.048965783346048</v>
      </c>
      <c r="L96" s="8">
        <v>1.0831204435727859</v>
      </c>
      <c r="M96" s="8">
        <v>0.16660194350121085</v>
      </c>
    </row>
    <row r="97" spans="1:13" ht="17.25" customHeight="1" x14ac:dyDescent="0.2">
      <c r="A97" s="2" t="s">
        <v>241</v>
      </c>
      <c r="B97" s="2" t="s">
        <v>69</v>
      </c>
      <c r="C97" s="2" t="s">
        <v>14</v>
      </c>
      <c r="D97" s="2" t="s">
        <v>38</v>
      </c>
      <c r="E97" s="2" t="s">
        <v>26</v>
      </c>
      <c r="F97" s="2" t="s">
        <v>39</v>
      </c>
      <c r="G97" s="2" t="s">
        <v>200</v>
      </c>
      <c r="H97" s="8">
        <v>427.8</v>
      </c>
      <c r="I97" s="10">
        <v>2.4990042075736327</v>
      </c>
      <c r="J97" s="10">
        <v>3.3728190743338002</v>
      </c>
      <c r="K97" s="10">
        <v>51.676203833567094</v>
      </c>
      <c r="L97" s="8"/>
      <c r="M97" s="8"/>
    </row>
    <row r="98" spans="1:13" ht="17.25" customHeight="1" x14ac:dyDescent="0.2">
      <c r="A98" s="2" t="s">
        <v>242</v>
      </c>
      <c r="B98" s="2" t="s">
        <v>69</v>
      </c>
      <c r="C98" s="2" t="s">
        <v>14</v>
      </c>
      <c r="D98" s="2" t="s">
        <v>38</v>
      </c>
      <c r="E98" s="2" t="s">
        <v>26</v>
      </c>
      <c r="F98" s="2" t="s">
        <v>39</v>
      </c>
      <c r="G98" s="2" t="s">
        <v>200</v>
      </c>
      <c r="H98" s="8">
        <v>24.400000000000002</v>
      </c>
      <c r="I98" s="8">
        <v>3.1126229508196723</v>
      </c>
      <c r="J98" s="8">
        <v>4.5970901639344266</v>
      </c>
      <c r="K98" s="10">
        <v>61.174180327868854</v>
      </c>
      <c r="L98" s="8"/>
      <c r="M98" s="8"/>
    </row>
    <row r="99" spans="1:13" ht="17.25" customHeight="1" x14ac:dyDescent="0.2">
      <c r="A99" s="2" t="s">
        <v>243</v>
      </c>
      <c r="B99" s="2" t="s">
        <v>69</v>
      </c>
      <c r="C99" s="2" t="s">
        <v>14</v>
      </c>
      <c r="D99" s="2" t="s">
        <v>38</v>
      </c>
      <c r="E99" s="2" t="s">
        <v>26</v>
      </c>
      <c r="F99" s="2" t="s">
        <v>39</v>
      </c>
      <c r="G99" s="2" t="s">
        <v>200</v>
      </c>
      <c r="H99" s="8">
        <v>145.1</v>
      </c>
      <c r="I99" s="10">
        <v>3.9301585113714688</v>
      </c>
      <c r="J99" s="10">
        <v>8.3445968297725699</v>
      </c>
      <c r="K99" s="12">
        <v>62.486836664369406</v>
      </c>
      <c r="L99" s="8"/>
      <c r="M99" s="8"/>
    </row>
    <row r="100" spans="1:13" ht="17.25" customHeight="1" x14ac:dyDescent="0.2">
      <c r="A100" s="2" t="s">
        <v>244</v>
      </c>
      <c r="B100" s="2" t="s">
        <v>69</v>
      </c>
      <c r="C100" s="2" t="s">
        <v>14</v>
      </c>
      <c r="D100" s="2" t="s">
        <v>38</v>
      </c>
      <c r="E100" s="2" t="s">
        <v>26</v>
      </c>
      <c r="F100" s="2" t="s">
        <v>39</v>
      </c>
      <c r="G100" s="2" t="s">
        <v>200</v>
      </c>
      <c r="H100" s="10">
        <v>56</v>
      </c>
      <c r="I100" s="10">
        <v>5.3107142857142851</v>
      </c>
      <c r="J100" s="10">
        <v>7.8217857142857143</v>
      </c>
      <c r="K100" s="12">
        <v>106.26785714285714</v>
      </c>
      <c r="L100" s="8"/>
      <c r="M100" s="8"/>
    </row>
    <row r="101" spans="1:13" ht="17.25" customHeight="1" x14ac:dyDescent="0.2">
      <c r="A101" s="2" t="s">
        <v>245</v>
      </c>
      <c r="B101" s="2" t="s">
        <v>69</v>
      </c>
      <c r="C101" s="2" t="s">
        <v>14</v>
      </c>
      <c r="D101" s="2" t="s">
        <v>38</v>
      </c>
      <c r="E101" s="2" t="s">
        <v>26</v>
      </c>
      <c r="F101" s="2" t="s">
        <v>39</v>
      </c>
      <c r="G101" s="2" t="s">
        <v>200</v>
      </c>
      <c r="H101" s="8">
        <v>8.27</v>
      </c>
      <c r="I101" s="10">
        <v>2.4210640870616689</v>
      </c>
      <c r="J101" s="10">
        <v>5.698101571946796</v>
      </c>
      <c r="K101" s="12">
        <v>35.542684401451027</v>
      </c>
      <c r="L101" s="8"/>
      <c r="M101" s="8"/>
    </row>
    <row r="102" spans="1:13" ht="17.25" customHeight="1" x14ac:dyDescent="0.2">
      <c r="A102" s="2" t="s">
        <v>246</v>
      </c>
      <c r="B102" s="2" t="s">
        <v>69</v>
      </c>
      <c r="C102" s="2" t="s">
        <v>132</v>
      </c>
      <c r="D102" s="2"/>
      <c r="E102" s="2" t="s">
        <v>26</v>
      </c>
      <c r="F102" s="2" t="s">
        <v>247</v>
      </c>
      <c r="G102" s="2" t="s">
        <v>248</v>
      </c>
      <c r="H102" s="9">
        <v>20</v>
      </c>
      <c r="I102" s="8"/>
      <c r="J102" s="8">
        <v>0.35</v>
      </c>
      <c r="K102" s="9"/>
      <c r="L102" s="8">
        <v>0.35</v>
      </c>
      <c r="M102" s="8"/>
    </row>
    <row r="103" spans="1:13" ht="17.25" customHeight="1" x14ac:dyDescent="0.2">
      <c r="A103" s="2" t="s">
        <v>249</v>
      </c>
      <c r="B103" s="2" t="s">
        <v>69</v>
      </c>
      <c r="C103" s="2" t="s">
        <v>24</v>
      </c>
      <c r="D103" s="2"/>
      <c r="E103" s="2" t="s">
        <v>26</v>
      </c>
      <c r="F103" s="2" t="s">
        <v>250</v>
      </c>
      <c r="G103" s="2" t="s">
        <v>80</v>
      </c>
      <c r="H103" s="11">
        <v>0.22789899999999999</v>
      </c>
      <c r="I103" s="8">
        <v>0.17</v>
      </c>
      <c r="J103" s="10">
        <v>1.85</v>
      </c>
      <c r="K103" s="12">
        <v>33</v>
      </c>
      <c r="L103" s="8">
        <v>2.96</v>
      </c>
      <c r="M103" s="8"/>
    </row>
    <row r="104" spans="1:13" ht="17.25" customHeight="1" x14ac:dyDescent="0.2">
      <c r="A104" s="2" t="s">
        <v>251</v>
      </c>
      <c r="B104" s="2" t="s">
        <v>69</v>
      </c>
      <c r="C104" s="2" t="s">
        <v>24</v>
      </c>
      <c r="D104" s="2"/>
      <c r="E104" s="2" t="s">
        <v>26</v>
      </c>
      <c r="F104" s="2" t="s">
        <v>252</v>
      </c>
      <c r="G104" s="2" t="s">
        <v>253</v>
      </c>
      <c r="H104" s="9">
        <v>107</v>
      </c>
      <c r="I104" s="8">
        <v>3.4943925233644859</v>
      </c>
      <c r="J104" s="8">
        <v>8.6915887850467291E-2</v>
      </c>
      <c r="K104" s="10">
        <v>9.2523364485981308</v>
      </c>
      <c r="L104" s="8">
        <v>0.18831775700934578</v>
      </c>
      <c r="M104" s="8">
        <v>0.10579439252336449</v>
      </c>
    </row>
    <row r="105" spans="1:13" ht="17.25" customHeight="1" x14ac:dyDescent="0.2">
      <c r="A105" s="2" t="s">
        <v>254</v>
      </c>
      <c r="B105" s="2" t="s">
        <v>69</v>
      </c>
      <c r="C105" s="2" t="s">
        <v>14</v>
      </c>
      <c r="D105" s="2" t="s">
        <v>38</v>
      </c>
      <c r="E105" s="2" t="s">
        <v>26</v>
      </c>
      <c r="F105" s="2" t="s">
        <v>255</v>
      </c>
      <c r="G105" s="2" t="s">
        <v>82</v>
      </c>
      <c r="H105" s="8">
        <v>43.6</v>
      </c>
      <c r="I105" s="8">
        <v>0.95</v>
      </c>
      <c r="J105" s="8">
        <v>4.09</v>
      </c>
      <c r="K105" s="9"/>
      <c r="L105" s="8"/>
      <c r="M105" s="8"/>
    </row>
    <row r="106" spans="1:13" ht="17.25" customHeight="1" x14ac:dyDescent="0.2">
      <c r="A106" s="2" t="s">
        <v>256</v>
      </c>
      <c r="B106" s="2" t="s">
        <v>69</v>
      </c>
      <c r="C106" s="2" t="s">
        <v>132</v>
      </c>
      <c r="D106" s="2"/>
      <c r="E106" s="2" t="s">
        <v>26</v>
      </c>
      <c r="F106" s="2" t="s">
        <v>257</v>
      </c>
      <c r="G106" s="2" t="s">
        <v>258</v>
      </c>
      <c r="H106" s="11">
        <v>0.209338</v>
      </c>
      <c r="I106" s="8">
        <v>1.3221077874060132</v>
      </c>
      <c r="J106" s="8">
        <v>1.1132319024735118</v>
      </c>
      <c r="K106" s="10">
        <v>161.00705079823064</v>
      </c>
      <c r="L106" s="8"/>
      <c r="M106" s="8">
        <v>2.1011007079460007</v>
      </c>
    </row>
    <row r="107" spans="1:13" ht="17.25" customHeight="1" x14ac:dyDescent="0.2">
      <c r="A107" s="2" t="s">
        <v>259</v>
      </c>
      <c r="B107" s="2" t="s">
        <v>69</v>
      </c>
      <c r="C107" s="2" t="s">
        <v>24</v>
      </c>
      <c r="D107" s="2"/>
      <c r="E107" s="2" t="s">
        <v>26</v>
      </c>
      <c r="F107" s="2" t="s">
        <v>17</v>
      </c>
      <c r="G107" s="2" t="s">
        <v>260</v>
      </c>
      <c r="H107" s="11">
        <v>0.215534</v>
      </c>
      <c r="I107" s="8">
        <v>4.91</v>
      </c>
      <c r="J107" s="8">
        <v>2.2000000000000002</v>
      </c>
      <c r="K107" s="8">
        <v>193.6</v>
      </c>
      <c r="L107" s="8">
        <v>0.15</v>
      </c>
      <c r="M107" s="8"/>
    </row>
    <row r="108" spans="1:13" ht="17.25" customHeight="1" x14ac:dyDescent="0.2">
      <c r="A108" s="2" t="s">
        <v>261</v>
      </c>
      <c r="B108" s="2" t="s">
        <v>69</v>
      </c>
      <c r="C108" s="2" t="s">
        <v>30</v>
      </c>
      <c r="D108" s="2" t="s">
        <v>262</v>
      </c>
      <c r="E108" s="2" t="s">
        <v>26</v>
      </c>
      <c r="F108" s="2" t="s">
        <v>263</v>
      </c>
      <c r="G108" s="2" t="s">
        <v>264</v>
      </c>
      <c r="H108" s="11">
        <v>4.8761299999999999</v>
      </c>
      <c r="I108" s="13">
        <v>0.14567621444344522</v>
      </c>
      <c r="J108" s="8">
        <v>1.3280000000000001</v>
      </c>
      <c r="K108" s="10">
        <v>79.290000000000006</v>
      </c>
      <c r="L108" s="13">
        <v>1.6628909310248075E-2</v>
      </c>
      <c r="M108" s="8">
        <v>0.29399999999999998</v>
      </c>
    </row>
    <row r="109" spans="1:13" ht="17.25" customHeight="1" x14ac:dyDescent="0.2">
      <c r="A109" s="2" t="s">
        <v>265</v>
      </c>
      <c r="B109" s="2" t="s">
        <v>69</v>
      </c>
      <c r="C109" s="2" t="s">
        <v>30</v>
      </c>
      <c r="D109" s="2" t="s">
        <v>53</v>
      </c>
      <c r="E109" s="2" t="s">
        <v>26</v>
      </c>
      <c r="F109" s="2" t="s">
        <v>266</v>
      </c>
      <c r="G109" s="2" t="s">
        <v>228</v>
      </c>
      <c r="H109" s="11">
        <v>0.145097</v>
      </c>
      <c r="I109" s="8">
        <v>11.46</v>
      </c>
      <c r="J109" s="8"/>
      <c r="K109" s="9"/>
      <c r="L109" s="8"/>
      <c r="M109" s="8"/>
    </row>
    <row r="110" spans="1:13" ht="17.25" customHeight="1" x14ac:dyDescent="0.2">
      <c r="A110" s="2" t="s">
        <v>267</v>
      </c>
      <c r="B110" s="2" t="s">
        <v>69</v>
      </c>
      <c r="C110" s="2" t="s">
        <v>14</v>
      </c>
      <c r="D110" s="2" t="s">
        <v>38</v>
      </c>
      <c r="E110" s="2" t="s">
        <v>26</v>
      </c>
      <c r="F110" s="2" t="s">
        <v>175</v>
      </c>
      <c r="G110" s="2" t="s">
        <v>82</v>
      </c>
      <c r="H110" s="8">
        <v>8.0960000000000001</v>
      </c>
      <c r="I110" s="8">
        <v>0.3</v>
      </c>
      <c r="J110" s="8">
        <v>0.7</v>
      </c>
      <c r="K110" s="9">
        <v>9</v>
      </c>
      <c r="L110" s="8">
        <v>1.2</v>
      </c>
      <c r="M110" s="8"/>
    </row>
    <row r="111" spans="1:13" ht="17.25" customHeight="1" x14ac:dyDescent="0.2">
      <c r="A111" s="2" t="s">
        <v>268</v>
      </c>
      <c r="B111" s="2" t="s">
        <v>69</v>
      </c>
      <c r="C111" s="2" t="s">
        <v>132</v>
      </c>
      <c r="D111" s="2"/>
      <c r="E111" s="2" t="s">
        <v>26</v>
      </c>
      <c r="F111" s="2" t="s">
        <v>269</v>
      </c>
      <c r="G111" s="2" t="s">
        <v>200</v>
      </c>
      <c r="H111" s="9">
        <v>78</v>
      </c>
      <c r="I111" s="8">
        <v>0.2472692307692308</v>
      </c>
      <c r="J111" s="8">
        <v>0.50384615384615394</v>
      </c>
      <c r="K111" s="9"/>
      <c r="L111" s="8">
        <v>0.28423076923076923</v>
      </c>
      <c r="M111" s="8"/>
    </row>
    <row r="112" spans="1:13" ht="17.25" customHeight="1" x14ac:dyDescent="0.2">
      <c r="A112" s="2" t="s">
        <v>270</v>
      </c>
      <c r="B112" s="2" t="s">
        <v>69</v>
      </c>
      <c r="C112" s="2" t="s">
        <v>14</v>
      </c>
      <c r="D112" s="2" t="s">
        <v>15</v>
      </c>
      <c r="E112" s="2" t="s">
        <v>26</v>
      </c>
      <c r="F112" s="2" t="s">
        <v>73</v>
      </c>
      <c r="G112" s="2" t="s">
        <v>74</v>
      </c>
      <c r="H112" s="11">
        <v>2.1450389999999997</v>
      </c>
      <c r="I112" s="8">
        <v>1.22</v>
      </c>
      <c r="J112" s="8">
        <v>4.41</v>
      </c>
      <c r="K112" s="8">
        <v>32.700000000000003</v>
      </c>
      <c r="L112" s="8"/>
      <c r="M112" s="8"/>
    </row>
    <row r="113" spans="1:13" ht="17.25" customHeight="1" x14ac:dyDescent="0.2">
      <c r="A113" s="2" t="s">
        <v>271</v>
      </c>
      <c r="B113" s="2" t="s">
        <v>69</v>
      </c>
      <c r="C113" s="2" t="s">
        <v>24</v>
      </c>
      <c r="D113" s="2"/>
      <c r="E113" s="2" t="s">
        <v>26</v>
      </c>
      <c r="F113" s="2" t="s">
        <v>272</v>
      </c>
      <c r="G113" s="2" t="s">
        <v>71</v>
      </c>
      <c r="H113" s="8">
        <v>4.4580000000000002</v>
      </c>
      <c r="I113" s="8">
        <v>0.92</v>
      </c>
      <c r="J113" s="8">
        <v>3.24</v>
      </c>
      <c r="K113" s="8">
        <v>25.97</v>
      </c>
      <c r="L113" s="8">
        <v>0.81</v>
      </c>
      <c r="M113" s="8">
        <v>0.31</v>
      </c>
    </row>
    <row r="114" spans="1:13" ht="17.25" customHeight="1" x14ac:dyDescent="0.2">
      <c r="A114" s="2" t="s">
        <v>273</v>
      </c>
      <c r="B114" s="2" t="s">
        <v>69</v>
      </c>
      <c r="C114" s="2" t="s">
        <v>24</v>
      </c>
      <c r="D114" s="2"/>
      <c r="E114" s="2" t="s">
        <v>26</v>
      </c>
      <c r="F114" s="2" t="s">
        <v>274</v>
      </c>
      <c r="G114" s="2" t="s">
        <v>82</v>
      </c>
      <c r="H114" s="11">
        <v>4.867</v>
      </c>
      <c r="I114" s="8">
        <v>1.6848572015615371</v>
      </c>
      <c r="J114" s="8">
        <v>0.93519621943702502</v>
      </c>
      <c r="K114" s="12">
        <v>33.25518800082186</v>
      </c>
      <c r="L114" s="8">
        <v>1.208506266694062</v>
      </c>
      <c r="M114" s="8">
        <v>1.1089089788370656</v>
      </c>
    </row>
    <row r="115" spans="1:13" ht="17.25" customHeight="1" x14ac:dyDescent="0.2">
      <c r="A115" s="2" t="s">
        <v>275</v>
      </c>
      <c r="B115" s="2" t="s">
        <v>69</v>
      </c>
      <c r="C115" s="2" t="s">
        <v>24</v>
      </c>
      <c r="D115" s="2"/>
      <c r="E115" s="2" t="s">
        <v>26</v>
      </c>
      <c r="F115" s="2" t="s">
        <v>276</v>
      </c>
      <c r="G115" s="2" t="s">
        <v>77</v>
      </c>
      <c r="H115" s="8">
        <v>0.89500000000000002</v>
      </c>
      <c r="I115" s="10">
        <v>0.72572067039106158</v>
      </c>
      <c r="J115" s="10">
        <v>3.9948603351955314</v>
      </c>
      <c r="K115" s="10">
        <v>11.315083798882682</v>
      </c>
      <c r="L115" s="10">
        <v>0.7974301675977653</v>
      </c>
      <c r="M115" s="8"/>
    </row>
    <row r="116" spans="1:13" ht="17.25" customHeight="1" x14ac:dyDescent="0.2">
      <c r="A116" s="2" t="s">
        <v>277</v>
      </c>
      <c r="B116" s="2" t="s">
        <v>69</v>
      </c>
      <c r="C116" s="2" t="s">
        <v>14</v>
      </c>
      <c r="D116" s="2" t="s">
        <v>38</v>
      </c>
      <c r="E116" s="2" t="s">
        <v>26</v>
      </c>
      <c r="F116" s="2" t="s">
        <v>278</v>
      </c>
      <c r="G116" s="2" t="s">
        <v>82</v>
      </c>
      <c r="H116" s="11">
        <v>8.8520000000000003</v>
      </c>
      <c r="I116" s="8">
        <v>3.4649062358788973</v>
      </c>
      <c r="J116" s="8">
        <v>1.4796825576140984</v>
      </c>
      <c r="K116" s="9"/>
      <c r="L116" s="8"/>
      <c r="M116" s="8"/>
    </row>
    <row r="117" spans="1:13" ht="17.25" customHeight="1" x14ac:dyDescent="0.2">
      <c r="A117" s="2" t="s">
        <v>279</v>
      </c>
      <c r="B117" s="2" t="s">
        <v>69</v>
      </c>
      <c r="C117" s="2" t="s">
        <v>30</v>
      </c>
      <c r="D117" s="2" t="s">
        <v>280</v>
      </c>
      <c r="E117" s="2" t="s">
        <v>26</v>
      </c>
      <c r="F117" s="2" t="s">
        <v>281</v>
      </c>
      <c r="G117" s="2" t="s">
        <v>282</v>
      </c>
      <c r="H117" s="8">
        <v>5.9</v>
      </c>
      <c r="I117" s="8">
        <v>0.6</v>
      </c>
      <c r="J117" s="8"/>
      <c r="K117" s="9">
        <v>110</v>
      </c>
      <c r="L117" s="8"/>
      <c r="M117" s="8"/>
    </row>
    <row r="118" spans="1:13" ht="17.25" customHeight="1" x14ac:dyDescent="0.2">
      <c r="A118" s="2" t="s">
        <v>283</v>
      </c>
      <c r="B118" s="2" t="s">
        <v>69</v>
      </c>
      <c r="C118" s="2" t="s">
        <v>24</v>
      </c>
      <c r="D118" s="2"/>
      <c r="E118" s="2" t="s">
        <v>26</v>
      </c>
      <c r="F118" s="2" t="s">
        <v>284</v>
      </c>
      <c r="G118" s="2" t="s">
        <v>80</v>
      </c>
      <c r="H118" s="8">
        <v>2.98</v>
      </c>
      <c r="I118" s="8">
        <v>1.5880000000000001</v>
      </c>
      <c r="J118" s="8">
        <v>4.9400000000000004</v>
      </c>
      <c r="K118" s="9">
        <v>15</v>
      </c>
      <c r="L118" s="8"/>
      <c r="M118" s="8"/>
    </row>
    <row r="119" spans="1:13" ht="17.25" customHeight="1" x14ac:dyDescent="0.2">
      <c r="A119" s="2" t="s">
        <v>285</v>
      </c>
      <c r="B119" s="2" t="s">
        <v>69</v>
      </c>
      <c r="C119" s="2" t="s">
        <v>24</v>
      </c>
      <c r="D119" s="2"/>
      <c r="E119" s="2" t="s">
        <v>26</v>
      </c>
      <c r="F119" s="2" t="s">
        <v>159</v>
      </c>
      <c r="G119" s="2" t="s">
        <v>82</v>
      </c>
      <c r="H119" s="8">
        <v>0.68000000000000016</v>
      </c>
      <c r="I119" s="10">
        <v>2.4500000000000002</v>
      </c>
      <c r="J119" s="10">
        <v>4.9352941176470582</v>
      </c>
      <c r="K119" s="12">
        <v>78.999999999999986</v>
      </c>
      <c r="L119" s="10">
        <v>1.2058823529411762</v>
      </c>
      <c r="M119" s="10">
        <v>0.68823529411764695</v>
      </c>
    </row>
    <row r="120" spans="1:13" ht="17.25" customHeight="1" x14ac:dyDescent="0.2">
      <c r="A120" s="2" t="s">
        <v>286</v>
      </c>
      <c r="B120" s="2" t="s">
        <v>69</v>
      </c>
      <c r="C120" s="2" t="s">
        <v>132</v>
      </c>
      <c r="D120" s="2"/>
      <c r="E120" s="2" t="s">
        <v>26</v>
      </c>
      <c r="F120" s="2" t="s">
        <v>179</v>
      </c>
      <c r="G120" s="2" t="s">
        <v>228</v>
      </c>
      <c r="H120" s="8">
        <v>1.59</v>
      </c>
      <c r="I120" s="8">
        <v>0.1</v>
      </c>
      <c r="J120" s="8">
        <v>4.5</v>
      </c>
      <c r="K120" s="9">
        <v>11</v>
      </c>
      <c r="L120" s="8">
        <v>0.6</v>
      </c>
      <c r="M120" s="8"/>
    </row>
    <row r="121" spans="1:13" ht="17.25" customHeight="1" x14ac:dyDescent="0.2">
      <c r="A121" s="2" t="s">
        <v>287</v>
      </c>
      <c r="B121" s="2" t="s">
        <v>69</v>
      </c>
      <c r="C121" s="2" t="s">
        <v>24</v>
      </c>
      <c r="D121" s="2"/>
      <c r="E121" s="2" t="s">
        <v>26</v>
      </c>
      <c r="F121" s="2" t="s">
        <v>288</v>
      </c>
      <c r="G121" s="2" t="s">
        <v>77</v>
      </c>
      <c r="H121" s="8">
        <v>1.48</v>
      </c>
      <c r="I121" s="8"/>
      <c r="J121" s="8">
        <v>1.39</v>
      </c>
      <c r="K121" s="8">
        <v>3.31</v>
      </c>
      <c r="L121" s="8">
        <v>1.02</v>
      </c>
      <c r="M121" s="8">
        <v>0.24</v>
      </c>
    </row>
    <row r="122" spans="1:13" ht="17.25" customHeight="1" x14ac:dyDescent="0.2">
      <c r="A122" s="2" t="s">
        <v>289</v>
      </c>
      <c r="B122" s="2" t="s">
        <v>69</v>
      </c>
      <c r="C122" s="2" t="s">
        <v>132</v>
      </c>
      <c r="D122" s="2"/>
      <c r="E122" s="2" t="s">
        <v>26</v>
      </c>
      <c r="F122" s="2" t="s">
        <v>179</v>
      </c>
      <c r="G122" s="2" t="s">
        <v>180</v>
      </c>
      <c r="H122" s="8">
        <v>0.9</v>
      </c>
      <c r="I122" s="8">
        <v>0.9</v>
      </c>
      <c r="J122" s="8">
        <v>3.4</v>
      </c>
      <c r="K122" s="10">
        <v>16</v>
      </c>
      <c r="L122" s="8">
        <v>0.2</v>
      </c>
      <c r="M122" s="8"/>
    </row>
    <row r="123" spans="1:13" ht="17.25" customHeight="1" x14ac:dyDescent="0.2">
      <c r="A123" s="2" t="s">
        <v>290</v>
      </c>
      <c r="B123" s="2" t="s">
        <v>69</v>
      </c>
      <c r="C123" s="2" t="s">
        <v>30</v>
      </c>
      <c r="D123" s="2" t="s">
        <v>53</v>
      </c>
      <c r="E123" s="2" t="s">
        <v>26</v>
      </c>
      <c r="F123" s="2" t="s">
        <v>291</v>
      </c>
      <c r="G123" s="2" t="s">
        <v>80</v>
      </c>
      <c r="H123" s="8">
        <v>0.13100000000000001</v>
      </c>
      <c r="I123" s="10">
        <v>1.8854961832061068</v>
      </c>
      <c r="J123" s="8"/>
      <c r="K123" s="10">
        <v>4.5801526717557248</v>
      </c>
      <c r="L123" s="10">
        <v>1.3893129770992365</v>
      </c>
      <c r="M123" s="8"/>
    </row>
    <row r="124" spans="1:13" ht="17.25" customHeight="1" x14ac:dyDescent="0.2">
      <c r="A124" s="2" t="s">
        <v>292</v>
      </c>
      <c r="B124" s="2" t="s">
        <v>69</v>
      </c>
      <c r="C124" s="2" t="s">
        <v>132</v>
      </c>
      <c r="D124" s="2"/>
      <c r="E124" s="2" t="s">
        <v>26</v>
      </c>
      <c r="F124" s="2" t="s">
        <v>70</v>
      </c>
      <c r="G124" s="2" t="s">
        <v>293</v>
      </c>
      <c r="H124" s="11">
        <v>3.8319999999999999</v>
      </c>
      <c r="I124" s="8">
        <v>0.19697286012526097</v>
      </c>
      <c r="J124" s="8">
        <v>4.8001565762004184</v>
      </c>
      <c r="K124" s="12">
        <v>19.008350730688935</v>
      </c>
      <c r="L124" s="8">
        <v>0.75688935281837155</v>
      </c>
      <c r="M124" s="8">
        <v>6.4457202505219205E-2</v>
      </c>
    </row>
    <row r="125" spans="1:13" ht="17.25" customHeight="1" x14ac:dyDescent="0.2">
      <c r="A125" s="2" t="s">
        <v>294</v>
      </c>
      <c r="B125" s="2" t="s">
        <v>69</v>
      </c>
      <c r="C125" s="2" t="s">
        <v>24</v>
      </c>
      <c r="D125" s="2"/>
      <c r="E125" s="2" t="s">
        <v>26</v>
      </c>
      <c r="F125" s="2" t="s">
        <v>127</v>
      </c>
      <c r="G125" s="2" t="s">
        <v>82</v>
      </c>
      <c r="H125" s="8">
        <v>19.100000000000001</v>
      </c>
      <c r="I125" s="10">
        <v>3.4937172774869119</v>
      </c>
      <c r="J125" s="10">
        <v>11.002094240837696</v>
      </c>
      <c r="K125" s="12">
        <v>121.46596858638742</v>
      </c>
      <c r="L125" s="10">
        <v>0.4172774869109947</v>
      </c>
      <c r="M125" s="10">
        <v>1.7418848167539267</v>
      </c>
    </row>
    <row r="126" spans="1:13" ht="17.25" customHeight="1" x14ac:dyDescent="0.2">
      <c r="A126" s="2" t="s">
        <v>295</v>
      </c>
      <c r="B126" s="2" t="s">
        <v>69</v>
      </c>
      <c r="C126" s="2" t="s">
        <v>24</v>
      </c>
      <c r="D126" s="2"/>
      <c r="E126" s="2" t="s">
        <v>26</v>
      </c>
      <c r="F126" s="2" t="s">
        <v>188</v>
      </c>
      <c r="G126" s="2" t="s">
        <v>82</v>
      </c>
      <c r="H126" s="8">
        <v>1.0029999999999999</v>
      </c>
      <c r="I126" s="8">
        <v>2.1</v>
      </c>
      <c r="J126" s="10">
        <v>7</v>
      </c>
      <c r="K126" s="10">
        <v>52</v>
      </c>
      <c r="L126" s="10">
        <v>2</v>
      </c>
      <c r="M126" s="8">
        <v>0.3</v>
      </c>
    </row>
    <row r="127" spans="1:13" ht="17.25" customHeight="1" x14ac:dyDescent="0.2">
      <c r="A127" s="2" t="s">
        <v>296</v>
      </c>
      <c r="B127" s="2" t="s">
        <v>69</v>
      </c>
      <c r="C127" s="2" t="s">
        <v>24</v>
      </c>
      <c r="D127" s="2"/>
      <c r="E127" s="2" t="s">
        <v>26</v>
      </c>
      <c r="F127" s="2" t="s">
        <v>272</v>
      </c>
      <c r="G127" s="2" t="s">
        <v>71</v>
      </c>
      <c r="H127" s="8">
        <v>3.53</v>
      </c>
      <c r="I127" s="8"/>
      <c r="J127" s="8">
        <v>4.0509915014164308</v>
      </c>
      <c r="K127" s="12">
        <v>19.416430594900852</v>
      </c>
      <c r="L127" s="8">
        <v>1.6297450424929176</v>
      </c>
      <c r="M127" s="8">
        <v>0.26974504249291786</v>
      </c>
    </row>
    <row r="128" spans="1:13" ht="17.25" customHeight="1" x14ac:dyDescent="0.2">
      <c r="A128" s="2" t="s">
        <v>297</v>
      </c>
      <c r="B128" s="2" t="s">
        <v>69</v>
      </c>
      <c r="C128" s="2" t="s">
        <v>14</v>
      </c>
      <c r="D128" s="2"/>
      <c r="E128" s="2" t="s">
        <v>26</v>
      </c>
      <c r="F128" s="2" t="s">
        <v>298</v>
      </c>
      <c r="G128" s="2" t="s">
        <v>77</v>
      </c>
      <c r="H128" s="8">
        <v>24.381</v>
      </c>
      <c r="I128" s="8">
        <v>0.45</v>
      </c>
      <c r="J128" s="8">
        <v>1.81</v>
      </c>
      <c r="K128" s="8">
        <v>4.57</v>
      </c>
      <c r="L128" s="8"/>
      <c r="M128" s="8"/>
    </row>
    <row r="129" spans="1:13" ht="17.25" customHeight="1" x14ac:dyDescent="0.2">
      <c r="A129" s="2" t="s">
        <v>299</v>
      </c>
      <c r="B129" s="2" t="s">
        <v>69</v>
      </c>
      <c r="C129" s="2" t="s">
        <v>14</v>
      </c>
      <c r="D129" s="2" t="s">
        <v>38</v>
      </c>
      <c r="E129" s="2" t="s">
        <v>26</v>
      </c>
      <c r="F129" s="2" t="s">
        <v>127</v>
      </c>
      <c r="G129" s="2" t="s">
        <v>77</v>
      </c>
      <c r="H129" s="8">
        <v>1.6</v>
      </c>
      <c r="I129" s="8">
        <v>13.9</v>
      </c>
      <c r="J129" s="8">
        <v>5.0999999999999996</v>
      </c>
      <c r="K129" s="9">
        <v>157</v>
      </c>
      <c r="L129" s="8"/>
      <c r="M129" s="8"/>
    </row>
    <row r="130" spans="1:13" ht="17.25" customHeight="1" x14ac:dyDescent="0.2">
      <c r="A130" s="2" t="s">
        <v>300</v>
      </c>
      <c r="B130" s="2" t="s">
        <v>69</v>
      </c>
      <c r="C130" s="2" t="s">
        <v>14</v>
      </c>
      <c r="D130" s="2" t="s">
        <v>15</v>
      </c>
      <c r="E130" s="2" t="s">
        <v>26</v>
      </c>
      <c r="F130" s="2" t="s">
        <v>274</v>
      </c>
      <c r="G130" s="2" t="s">
        <v>82</v>
      </c>
      <c r="H130" s="8">
        <v>16.7</v>
      </c>
      <c r="I130" s="8">
        <v>4.5</v>
      </c>
      <c r="J130" s="8">
        <v>0.7</v>
      </c>
      <c r="K130" s="9">
        <v>52</v>
      </c>
      <c r="L130" s="8"/>
      <c r="M130" s="8"/>
    </row>
    <row r="131" spans="1:13" ht="17.25" customHeight="1" x14ac:dyDescent="0.2">
      <c r="A131" s="2" t="s">
        <v>301</v>
      </c>
      <c r="B131" s="2" t="s">
        <v>69</v>
      </c>
      <c r="C131" s="2" t="s">
        <v>24</v>
      </c>
      <c r="D131" s="2"/>
      <c r="E131" s="2" t="s">
        <v>26</v>
      </c>
      <c r="F131" s="2" t="s">
        <v>98</v>
      </c>
      <c r="G131" s="2" t="s">
        <v>82</v>
      </c>
      <c r="H131" s="8">
        <v>13.986000000000001</v>
      </c>
      <c r="I131" s="14">
        <v>0.65151515151515138</v>
      </c>
      <c r="J131" s="10">
        <v>4</v>
      </c>
      <c r="K131" s="9">
        <v>40</v>
      </c>
      <c r="L131" s="10">
        <v>2</v>
      </c>
      <c r="M131" s="8">
        <v>1.1000000000000001</v>
      </c>
    </row>
    <row r="132" spans="1:13" ht="17.25" customHeight="1" x14ac:dyDescent="0.2">
      <c r="A132" s="2" t="s">
        <v>302</v>
      </c>
      <c r="B132" s="2" t="s">
        <v>69</v>
      </c>
      <c r="C132" s="2" t="s">
        <v>24</v>
      </c>
      <c r="D132" s="2"/>
      <c r="E132" s="2" t="s">
        <v>26</v>
      </c>
      <c r="F132" s="2" t="s">
        <v>188</v>
      </c>
      <c r="G132" s="2" t="s">
        <v>82</v>
      </c>
      <c r="H132" s="8">
        <v>12.831</v>
      </c>
      <c r="I132" s="8">
        <v>0.2</v>
      </c>
      <c r="J132" s="8">
        <v>4.0999999999999996</v>
      </c>
      <c r="K132" s="8">
        <v>17.600000000000001</v>
      </c>
      <c r="L132" s="8">
        <v>1.5</v>
      </c>
      <c r="M132" s="8">
        <v>0.1</v>
      </c>
    </row>
    <row r="133" spans="1:13" ht="17.25" customHeight="1" x14ac:dyDescent="0.2">
      <c r="A133" s="2" t="s">
        <v>303</v>
      </c>
      <c r="B133" s="2" t="s">
        <v>69</v>
      </c>
      <c r="C133" s="2" t="s">
        <v>24</v>
      </c>
      <c r="D133" s="2"/>
      <c r="E133" s="2" t="s">
        <v>26</v>
      </c>
      <c r="F133" s="2" t="s">
        <v>193</v>
      </c>
      <c r="G133" s="2" t="s">
        <v>82</v>
      </c>
      <c r="H133" s="8">
        <v>1.5</v>
      </c>
      <c r="I133" s="8">
        <v>2.1</v>
      </c>
      <c r="J133" s="8">
        <v>3.7</v>
      </c>
      <c r="K133" s="9">
        <v>24</v>
      </c>
      <c r="L133" s="8">
        <v>0.4</v>
      </c>
      <c r="M133" s="8">
        <v>0.3</v>
      </c>
    </row>
    <row r="134" spans="1:13" ht="17.25" customHeight="1" x14ac:dyDescent="0.2">
      <c r="A134" s="2" t="s">
        <v>304</v>
      </c>
      <c r="B134" s="2" t="s">
        <v>69</v>
      </c>
      <c r="C134" s="2" t="s">
        <v>14</v>
      </c>
      <c r="D134" s="2" t="s">
        <v>15</v>
      </c>
      <c r="E134" s="2" t="s">
        <v>26</v>
      </c>
      <c r="F134" s="2" t="s">
        <v>305</v>
      </c>
      <c r="G134" s="2" t="s">
        <v>125</v>
      </c>
      <c r="H134" s="11">
        <v>0.28760000000000002</v>
      </c>
      <c r="I134" s="8">
        <v>1.5</v>
      </c>
      <c r="J134" s="8">
        <v>2.8</v>
      </c>
      <c r="K134" s="9">
        <v>31</v>
      </c>
      <c r="L134" s="8"/>
      <c r="M134" s="8"/>
    </row>
    <row r="135" spans="1:13" ht="17.25" customHeight="1" x14ac:dyDescent="0.2">
      <c r="A135" s="2" t="s">
        <v>306</v>
      </c>
      <c r="B135" s="2" t="s">
        <v>69</v>
      </c>
      <c r="C135" s="2" t="s">
        <v>14</v>
      </c>
      <c r="D135" s="2" t="s">
        <v>38</v>
      </c>
      <c r="E135" s="2" t="s">
        <v>26</v>
      </c>
      <c r="F135" s="2" t="s">
        <v>31</v>
      </c>
      <c r="G135" s="2" t="s">
        <v>82</v>
      </c>
      <c r="H135" s="8">
        <v>0.37559999999999999</v>
      </c>
      <c r="I135" s="8">
        <v>1.6</v>
      </c>
      <c r="J135" s="8">
        <v>3.8</v>
      </c>
      <c r="K135" s="9">
        <v>15</v>
      </c>
      <c r="L135" s="8"/>
      <c r="M135" s="8"/>
    </row>
    <row r="136" spans="1:13" ht="17.25" customHeight="1" x14ac:dyDescent="0.2">
      <c r="A136" s="2" t="s">
        <v>307</v>
      </c>
      <c r="B136" s="2" t="s">
        <v>69</v>
      </c>
      <c r="C136" s="2" t="s">
        <v>308</v>
      </c>
      <c r="D136" s="2"/>
      <c r="E136" s="2" t="s">
        <v>26</v>
      </c>
      <c r="F136" s="2" t="s">
        <v>309</v>
      </c>
      <c r="G136" s="2" t="s">
        <v>310</v>
      </c>
      <c r="H136" s="8">
        <v>0.73299999999999998</v>
      </c>
      <c r="I136" s="8">
        <v>0.9</v>
      </c>
      <c r="J136" s="8">
        <v>0.83</v>
      </c>
      <c r="K136" s="9">
        <v>49</v>
      </c>
      <c r="L136" s="8">
        <v>0.1</v>
      </c>
      <c r="M136" s="8">
        <v>0.06</v>
      </c>
    </row>
    <row r="137" spans="1:13" ht="17.25" customHeight="1" x14ac:dyDescent="0.2">
      <c r="A137" s="2" t="s">
        <v>311</v>
      </c>
      <c r="B137" s="2" t="s">
        <v>69</v>
      </c>
      <c r="C137" s="2" t="s">
        <v>14</v>
      </c>
      <c r="D137" s="2" t="s">
        <v>38</v>
      </c>
      <c r="E137" s="2" t="s">
        <v>26</v>
      </c>
      <c r="F137" s="2" t="s">
        <v>255</v>
      </c>
      <c r="G137" s="2" t="s">
        <v>312</v>
      </c>
      <c r="H137" s="9">
        <v>58</v>
      </c>
      <c r="I137" s="8">
        <v>1.6</v>
      </c>
      <c r="J137" s="8">
        <v>11.1</v>
      </c>
      <c r="K137" s="9"/>
      <c r="L137" s="8"/>
      <c r="M137" s="8"/>
    </row>
    <row r="138" spans="1:13" ht="17.25" customHeight="1" x14ac:dyDescent="0.2">
      <c r="A138" s="2" t="s">
        <v>313</v>
      </c>
      <c r="B138" s="2" t="s">
        <v>69</v>
      </c>
      <c r="C138" s="2" t="s">
        <v>24</v>
      </c>
      <c r="D138" s="2"/>
      <c r="E138" s="2" t="s">
        <v>26</v>
      </c>
      <c r="F138" s="2" t="s">
        <v>98</v>
      </c>
      <c r="G138" s="2" t="s">
        <v>82</v>
      </c>
      <c r="H138" s="8">
        <v>1.554</v>
      </c>
      <c r="I138" s="8"/>
      <c r="J138" s="8">
        <v>2.5</v>
      </c>
      <c r="K138" s="9">
        <v>49</v>
      </c>
      <c r="L138" s="8">
        <v>1.6</v>
      </c>
      <c r="M138" s="8"/>
    </row>
    <row r="139" spans="1:13" ht="17.25" customHeight="1" x14ac:dyDescent="0.2">
      <c r="A139" s="2" t="s">
        <v>314</v>
      </c>
      <c r="B139" s="2" t="s">
        <v>69</v>
      </c>
      <c r="C139" s="2" t="s">
        <v>24</v>
      </c>
      <c r="D139" s="2"/>
      <c r="E139" s="2" t="s">
        <v>26</v>
      </c>
      <c r="F139" s="2" t="s">
        <v>70</v>
      </c>
      <c r="G139" s="2" t="s">
        <v>71</v>
      </c>
      <c r="H139" s="11">
        <v>4.1712999999999996</v>
      </c>
      <c r="I139" s="8">
        <v>2.2525783328938225</v>
      </c>
      <c r="J139" s="8">
        <v>7.9273487881475821</v>
      </c>
      <c r="K139" s="10">
        <v>41.364083139548825</v>
      </c>
      <c r="L139" s="8">
        <v>0.93490758276796215</v>
      </c>
      <c r="M139" s="8">
        <v>0.56557428139908428</v>
      </c>
    </row>
    <row r="140" spans="1:13" ht="17.25" customHeight="1" x14ac:dyDescent="0.2">
      <c r="A140" s="2" t="s">
        <v>315</v>
      </c>
      <c r="B140" s="2" t="s">
        <v>69</v>
      </c>
      <c r="C140" s="2" t="s">
        <v>108</v>
      </c>
      <c r="D140" s="2" t="s">
        <v>316</v>
      </c>
      <c r="E140" s="2" t="s">
        <v>26</v>
      </c>
      <c r="F140" s="2" t="s">
        <v>317</v>
      </c>
      <c r="G140" s="2" t="s">
        <v>318</v>
      </c>
      <c r="H140" s="8">
        <v>6.24</v>
      </c>
      <c r="I140" s="10">
        <v>2</v>
      </c>
      <c r="J140" s="8">
        <v>1.2</v>
      </c>
      <c r="K140" s="10">
        <v>47</v>
      </c>
      <c r="L140" s="10">
        <v>1</v>
      </c>
      <c r="M140" s="8">
        <v>0.8</v>
      </c>
    </row>
    <row r="141" spans="1:13" ht="17.25" customHeight="1" x14ac:dyDescent="0.2">
      <c r="A141" s="2" t="s">
        <v>319</v>
      </c>
      <c r="B141" s="2" t="s">
        <v>69</v>
      </c>
      <c r="C141" s="2" t="s">
        <v>24</v>
      </c>
      <c r="D141" s="2"/>
      <c r="E141" s="2" t="s">
        <v>26</v>
      </c>
      <c r="F141" s="2" t="s">
        <v>320</v>
      </c>
      <c r="G141" s="2" t="s">
        <v>80</v>
      </c>
      <c r="H141" s="8">
        <v>2.6100000000000003</v>
      </c>
      <c r="I141" s="8">
        <v>1.0699616858237548</v>
      </c>
      <c r="J141" s="8">
        <v>2.6713793103448276</v>
      </c>
      <c r="K141" s="12">
        <v>88.291187739463595</v>
      </c>
      <c r="L141" s="8">
        <v>9.7164750957854415E-2</v>
      </c>
      <c r="M141" s="8">
        <v>0.698735632183908</v>
      </c>
    </row>
    <row r="142" spans="1:13" ht="17.25" customHeight="1" x14ac:dyDescent="0.2">
      <c r="A142" s="2" t="s">
        <v>321</v>
      </c>
      <c r="B142" s="2" t="s">
        <v>69</v>
      </c>
      <c r="C142" s="2" t="s">
        <v>108</v>
      </c>
      <c r="D142" s="2"/>
      <c r="E142" s="2" t="s">
        <v>26</v>
      </c>
      <c r="F142" s="2" t="s">
        <v>322</v>
      </c>
      <c r="G142" s="2" t="s">
        <v>323</v>
      </c>
      <c r="H142" s="8">
        <v>1.25</v>
      </c>
      <c r="I142" s="8">
        <v>1.76</v>
      </c>
      <c r="J142" s="8">
        <v>3.3</v>
      </c>
      <c r="K142" s="8">
        <v>68.8</v>
      </c>
      <c r="L142" s="8">
        <v>0.81</v>
      </c>
      <c r="M142" s="8">
        <v>0.66</v>
      </c>
    </row>
    <row r="143" spans="1:13" ht="17.25" customHeight="1" x14ac:dyDescent="0.2">
      <c r="A143" s="2" t="s">
        <v>324</v>
      </c>
      <c r="B143" s="2" t="s">
        <v>69</v>
      </c>
      <c r="C143" s="2" t="s">
        <v>14</v>
      </c>
      <c r="D143" s="2" t="s">
        <v>38</v>
      </c>
      <c r="E143" s="2" t="s">
        <v>26</v>
      </c>
      <c r="F143" s="2" t="s">
        <v>325</v>
      </c>
      <c r="G143" s="2" t="s">
        <v>326</v>
      </c>
      <c r="H143" s="8">
        <v>48.3</v>
      </c>
      <c r="I143" s="8">
        <v>0.83000000000000007</v>
      </c>
      <c r="J143" s="8">
        <v>0.88000000000000012</v>
      </c>
      <c r="K143" s="10">
        <v>20.378260869565221</v>
      </c>
      <c r="L143" s="8">
        <v>0.39043478260869569</v>
      </c>
      <c r="M143" s="8"/>
    </row>
    <row r="144" spans="1:13" ht="17.25" customHeight="1" x14ac:dyDescent="0.2">
      <c r="A144" s="2" t="s">
        <v>327</v>
      </c>
      <c r="B144" s="2" t="s">
        <v>69</v>
      </c>
      <c r="C144" s="2" t="s">
        <v>30</v>
      </c>
      <c r="D144" s="2"/>
      <c r="E144" s="2" t="s">
        <v>26</v>
      </c>
      <c r="F144" s="2" t="s">
        <v>328</v>
      </c>
      <c r="G144" s="2" t="s">
        <v>82</v>
      </c>
      <c r="H144" s="11">
        <v>1.49</v>
      </c>
      <c r="I144" s="8">
        <v>0.71</v>
      </c>
      <c r="J144" s="8">
        <v>1.56</v>
      </c>
      <c r="K144" s="9">
        <v>245</v>
      </c>
      <c r="L144" s="8">
        <v>0.27</v>
      </c>
      <c r="M144" s="8"/>
    </row>
    <row r="145" spans="1:13" ht="17.25" customHeight="1" x14ac:dyDescent="0.2">
      <c r="A145" s="2" t="s">
        <v>329</v>
      </c>
      <c r="B145" s="2" t="s">
        <v>69</v>
      </c>
      <c r="C145" s="2" t="s">
        <v>24</v>
      </c>
      <c r="D145" s="2"/>
      <c r="E145" s="2" t="s">
        <v>26</v>
      </c>
      <c r="F145" s="2" t="s">
        <v>188</v>
      </c>
      <c r="G145" s="2" t="s">
        <v>82</v>
      </c>
      <c r="H145" s="8">
        <v>0.97199999999999998</v>
      </c>
      <c r="I145" s="8">
        <v>0.2</v>
      </c>
      <c r="J145" s="8">
        <v>1.1000000000000001</v>
      </c>
      <c r="K145" s="8">
        <v>10.3</v>
      </c>
      <c r="L145" s="8">
        <v>2.1</v>
      </c>
      <c r="M145" s="8">
        <v>0.1</v>
      </c>
    </row>
    <row r="146" spans="1:13" ht="17.25" customHeight="1" x14ac:dyDescent="0.2">
      <c r="A146" s="2" t="s">
        <v>330</v>
      </c>
      <c r="B146" s="2" t="s">
        <v>69</v>
      </c>
      <c r="C146" s="2" t="s">
        <v>24</v>
      </c>
      <c r="D146" s="2"/>
      <c r="E146" s="2" t="s">
        <v>26</v>
      </c>
      <c r="F146" s="2" t="s">
        <v>331</v>
      </c>
      <c r="G146" s="2" t="s">
        <v>82</v>
      </c>
      <c r="H146" s="8">
        <v>2.875</v>
      </c>
      <c r="I146" s="8"/>
      <c r="J146" s="8">
        <v>1.3490852173913042</v>
      </c>
      <c r="K146" s="9"/>
      <c r="L146" s="8">
        <v>0.75986086956521748</v>
      </c>
      <c r="M146" s="8"/>
    </row>
    <row r="147" spans="1:13" ht="17.25" customHeight="1" x14ac:dyDescent="0.2">
      <c r="A147" s="2" t="s">
        <v>332</v>
      </c>
      <c r="B147" s="2" t="s">
        <v>69</v>
      </c>
      <c r="C147" s="2" t="s">
        <v>14</v>
      </c>
      <c r="D147" s="2" t="s">
        <v>333</v>
      </c>
      <c r="E147" s="2" t="s">
        <v>26</v>
      </c>
      <c r="F147" s="2" t="s">
        <v>334</v>
      </c>
      <c r="G147" s="2" t="s">
        <v>335</v>
      </c>
      <c r="H147" s="10">
        <v>41.5</v>
      </c>
      <c r="I147" s="8">
        <v>0.5</v>
      </c>
      <c r="J147" s="8"/>
      <c r="K147" s="9">
        <v>45</v>
      </c>
      <c r="L147" s="8"/>
      <c r="M147" s="8"/>
    </row>
    <row r="148" spans="1:13" ht="17.25" customHeight="1" x14ac:dyDescent="0.2">
      <c r="A148" s="2" t="s">
        <v>336</v>
      </c>
      <c r="B148" s="2" t="s">
        <v>69</v>
      </c>
      <c r="C148" s="2" t="s">
        <v>337</v>
      </c>
      <c r="D148" s="2" t="s">
        <v>338</v>
      </c>
      <c r="E148" s="15" t="s">
        <v>171</v>
      </c>
      <c r="F148" s="2" t="s">
        <v>206</v>
      </c>
      <c r="G148" s="2" t="s">
        <v>82</v>
      </c>
      <c r="H148" s="8">
        <v>11.65</v>
      </c>
      <c r="I148" s="8">
        <v>1.3484120171673821</v>
      </c>
      <c r="J148" s="8">
        <v>2.2855793991416311</v>
      </c>
      <c r="K148" s="12">
        <v>31.806866952789701</v>
      </c>
      <c r="L148" s="8">
        <v>0.50454935622317598</v>
      </c>
      <c r="M148" s="8">
        <v>0.29420600858369095</v>
      </c>
    </row>
    <row r="149" spans="1:13" ht="17.25" customHeight="1" x14ac:dyDescent="0.2">
      <c r="A149" s="2" t="s">
        <v>339</v>
      </c>
      <c r="B149" s="2" t="s">
        <v>69</v>
      </c>
      <c r="C149" s="2" t="s">
        <v>340</v>
      </c>
      <c r="D149" s="2" t="s">
        <v>338</v>
      </c>
      <c r="E149" s="2" t="s">
        <v>26</v>
      </c>
      <c r="F149" s="2" t="s">
        <v>206</v>
      </c>
      <c r="G149" s="2" t="s">
        <v>82</v>
      </c>
      <c r="H149" s="8">
        <v>10.1</v>
      </c>
      <c r="I149" s="8">
        <v>4.0290297029702966</v>
      </c>
      <c r="J149" s="8">
        <v>10.152178217821783</v>
      </c>
      <c r="K149" s="12">
        <v>84.451485148514863</v>
      </c>
      <c r="L149" s="8">
        <v>1.7774257425742577</v>
      </c>
      <c r="M149" s="8">
        <v>0.55053465346534658</v>
      </c>
    </row>
    <row r="150" spans="1:13" ht="17.25" customHeight="1" x14ac:dyDescent="0.2">
      <c r="A150" s="2" t="s">
        <v>341</v>
      </c>
      <c r="B150" s="2" t="s">
        <v>69</v>
      </c>
      <c r="C150" s="2" t="s">
        <v>342</v>
      </c>
      <c r="D150" s="2" t="s">
        <v>343</v>
      </c>
      <c r="E150" s="15" t="s">
        <v>171</v>
      </c>
      <c r="F150" s="2" t="s">
        <v>344</v>
      </c>
      <c r="G150" s="2" t="s">
        <v>345</v>
      </c>
      <c r="H150" s="8">
        <v>0.42</v>
      </c>
      <c r="I150" s="8">
        <v>1.5</v>
      </c>
      <c r="J150" s="8">
        <v>13.6</v>
      </c>
      <c r="K150" s="9">
        <v>55</v>
      </c>
      <c r="L150" s="8"/>
      <c r="M150" s="8"/>
    </row>
    <row r="151" spans="1:13" ht="17.25" customHeight="1" x14ac:dyDescent="0.2">
      <c r="A151" s="2" t="s">
        <v>346</v>
      </c>
      <c r="B151" s="2" t="s">
        <v>347</v>
      </c>
      <c r="C151" s="2" t="s">
        <v>14</v>
      </c>
      <c r="D151" s="2" t="s">
        <v>38</v>
      </c>
      <c r="E151" s="7" t="s">
        <v>16</v>
      </c>
      <c r="F151" s="2" t="s">
        <v>17</v>
      </c>
      <c r="G151" s="2" t="s">
        <v>348</v>
      </c>
      <c r="H151" s="9">
        <v>95</v>
      </c>
      <c r="I151" s="8">
        <v>1.43</v>
      </c>
      <c r="J151" s="8">
        <v>3.63</v>
      </c>
      <c r="K151" s="8">
        <v>44.2</v>
      </c>
      <c r="L151" s="8">
        <v>0.59</v>
      </c>
      <c r="M151" s="8"/>
    </row>
    <row r="152" spans="1:13" ht="17.25" customHeight="1" x14ac:dyDescent="0.2">
      <c r="A152" s="2" t="s">
        <v>349</v>
      </c>
      <c r="B152" s="2" t="s">
        <v>350</v>
      </c>
      <c r="C152" s="2" t="s">
        <v>30</v>
      </c>
      <c r="D152" s="2" t="s">
        <v>351</v>
      </c>
      <c r="E152" s="2" t="s">
        <v>26</v>
      </c>
      <c r="F152" s="2" t="s">
        <v>39</v>
      </c>
      <c r="G152" s="2" t="s">
        <v>40</v>
      </c>
      <c r="H152" s="8">
        <f>1+0.7+2.4</f>
        <v>4.0999999999999996</v>
      </c>
      <c r="I152" s="10">
        <f>(1.38*1+1*0.7+0.7*2.4)/$H152</f>
        <v>0.91707317073170735</v>
      </c>
      <c r="J152" s="10">
        <f>(10.9*1+11*0.7+9*2.4)/$H152</f>
        <v>9.8048780487804894</v>
      </c>
      <c r="K152" s="12">
        <f>(296*1+320*0.7+300*2.4)/$H152</f>
        <v>302.4390243902439</v>
      </c>
      <c r="L152" s="8"/>
      <c r="M152" s="8"/>
    </row>
    <row r="153" spans="1:13" ht="17.25" customHeight="1" x14ac:dyDescent="0.2">
      <c r="A153" s="2" t="s">
        <v>352</v>
      </c>
      <c r="B153" s="2" t="s">
        <v>350</v>
      </c>
      <c r="C153" s="2" t="s">
        <v>162</v>
      </c>
      <c r="D153" s="2" t="s">
        <v>351</v>
      </c>
      <c r="E153" s="2" t="s">
        <v>26</v>
      </c>
      <c r="F153" s="2" t="s">
        <v>39</v>
      </c>
      <c r="G153" s="2" t="s">
        <v>40</v>
      </c>
      <c r="H153" s="8">
        <f>0.53+0.5+1.3</f>
        <v>2.33</v>
      </c>
      <c r="I153" s="10">
        <f>(2.65*0.53+2.4*0.5+2*1.3)/$H153</f>
        <v>2.2336909871244632</v>
      </c>
      <c r="J153" s="10">
        <f>(9.63*0.53+9.7*0.5+8*1.3)/$H153</f>
        <v>8.7355793991416313</v>
      </c>
      <c r="K153" s="12">
        <f>(207*0.53+200*0.5+200*1.3)/$H153</f>
        <v>201.59227467811161</v>
      </c>
      <c r="L153" s="8"/>
      <c r="M153" s="8"/>
    </row>
    <row r="154" spans="1:13" ht="17.25" customHeight="1" x14ac:dyDescent="0.2">
      <c r="A154" s="2" t="s">
        <v>353</v>
      </c>
      <c r="B154" s="2" t="s">
        <v>350</v>
      </c>
      <c r="C154" s="2" t="s">
        <v>354</v>
      </c>
      <c r="D154" s="2" t="s">
        <v>351</v>
      </c>
      <c r="E154" s="15" t="s">
        <v>171</v>
      </c>
      <c r="F154" s="2" t="s">
        <v>355</v>
      </c>
      <c r="G154" s="2" t="s">
        <v>356</v>
      </c>
      <c r="H154" s="11">
        <f>0.18378652+0.18151308</f>
        <v>0.3652996</v>
      </c>
      <c r="I154" s="8">
        <f>(0.16*0.18378652+0.47*0.18151308)/$H154</f>
        <v>0.31403535837433166</v>
      </c>
      <c r="J154" s="8">
        <f>(1.47*0.18378652+3*0.18151308)/$H154</f>
        <v>2.2302390268152497</v>
      </c>
      <c r="K154" s="10">
        <f>(8.12*0.18378652+17.85*0.18151308)/$H154</f>
        <v>12.954722699942732</v>
      </c>
      <c r="L154" s="8"/>
      <c r="M154" s="8"/>
    </row>
    <row r="155" spans="1:13" ht="17.25" customHeight="1" x14ac:dyDescent="0.2">
      <c r="A155" s="2" t="s">
        <v>357</v>
      </c>
      <c r="B155" s="2" t="s">
        <v>350</v>
      </c>
      <c r="C155" s="2" t="s">
        <v>30</v>
      </c>
      <c r="D155" s="2" t="s">
        <v>351</v>
      </c>
      <c r="E155" s="2" t="s">
        <v>26</v>
      </c>
      <c r="F155" s="2" t="s">
        <v>355</v>
      </c>
      <c r="G155" s="2" t="s">
        <v>358</v>
      </c>
      <c r="H155" s="8">
        <v>0.1163</v>
      </c>
      <c r="I155" s="8">
        <v>1.2</v>
      </c>
      <c r="J155" s="8">
        <v>5.0999999999999996</v>
      </c>
      <c r="K155" s="9">
        <v>54</v>
      </c>
      <c r="L155" s="8"/>
      <c r="M155" s="8"/>
    </row>
    <row r="156" spans="1:13" ht="17.25" customHeight="1" x14ac:dyDescent="0.2">
      <c r="A156" s="2" t="s">
        <v>359</v>
      </c>
      <c r="B156" s="2" t="s">
        <v>350</v>
      </c>
      <c r="C156" s="2" t="s">
        <v>14</v>
      </c>
      <c r="D156" s="2" t="s">
        <v>38</v>
      </c>
      <c r="E156" s="2" t="s">
        <v>26</v>
      </c>
      <c r="F156" s="2" t="s">
        <v>360</v>
      </c>
      <c r="G156" s="2" t="s">
        <v>361</v>
      </c>
      <c r="H156" s="8">
        <f>10.781799+110.769594+75.728745+10.551449+46.177497+69.705696+9.656149+67.054896+34.429848+50.149506</f>
        <v>485.00517899999988</v>
      </c>
      <c r="I156" s="8">
        <f>(0.13*10.781799+0.13*110.769594+0.13*75.728745+0.03*10.551449+0.03*46.177497+0.02*69.705696+0.05*9.656149+0.04*67.054896+0.03*34.429848+0.09*50.149506)/$H156</f>
        <v>7.7223411484436968E-2</v>
      </c>
      <c r="J156" s="8">
        <f>(0.04*10.781799+0.08*110.769594+0.1*75.728745+0.004*10.551449+0.004*46.177497+0*69.705696+0.03*9.656149+0.02*67.054896+0.01*34.429848+0.05*50.149506)/$H156</f>
        <v>4.4484444431056293E-2</v>
      </c>
      <c r="K156" s="10">
        <f>(40*10.781799+29.3*110.769594+23*75.728745+26.1*10.551449+21.7*46.177497+17.6*69.705696+34.2*9.656149+28*67.054896+22.9*34.429848+12*50.149506)/$H156</f>
        <v>23.754100835282017</v>
      </c>
      <c r="L156" s="8">
        <f>(0.01*10.781799+0.01*110.769594+0.01*75.728745+0.02*10.551449+0.02*46.177497+0.02*69.705696+0.04*9.656149+0.05*67.054896+0.05*34.429848+0.02*50.149506)/$H156</f>
        <v>2.2607938996874098E-2</v>
      </c>
      <c r="M156" s="8"/>
    </row>
    <row r="157" spans="1:13" ht="17.25" customHeight="1" x14ac:dyDescent="0.2">
      <c r="A157" s="2" t="s">
        <v>362</v>
      </c>
      <c r="B157" s="2" t="s">
        <v>350</v>
      </c>
      <c r="C157" s="2" t="s">
        <v>30</v>
      </c>
      <c r="D157" s="2"/>
      <c r="E157" s="2" t="s">
        <v>26</v>
      </c>
      <c r="F157" s="2" t="s">
        <v>355</v>
      </c>
      <c r="G157" s="2" t="s">
        <v>358</v>
      </c>
      <c r="H157" s="11">
        <v>18.4161</v>
      </c>
      <c r="I157" s="8">
        <v>0.68</v>
      </c>
      <c r="J157" s="8">
        <v>1.1599999999999999</v>
      </c>
      <c r="K157" s="8">
        <v>43.04</v>
      </c>
      <c r="L157" s="8"/>
      <c r="M157" s="8"/>
    </row>
    <row r="158" spans="1:13" ht="17.25" customHeight="1" x14ac:dyDescent="0.2">
      <c r="A158" s="2" t="s">
        <v>363</v>
      </c>
      <c r="B158" s="2" t="s">
        <v>350</v>
      </c>
      <c r="C158" s="2" t="s">
        <v>162</v>
      </c>
      <c r="D158" s="2"/>
      <c r="E158" s="2" t="s">
        <v>26</v>
      </c>
      <c r="F158" s="2" t="s">
        <v>39</v>
      </c>
      <c r="G158" s="2" t="s">
        <v>40</v>
      </c>
      <c r="H158" s="8">
        <f>0.23+0.4+1.6</f>
        <v>2.23</v>
      </c>
      <c r="I158" s="10">
        <f>(0.35*0.23+0.5*0.4+0.5*1.6)/$H158</f>
        <v>0.48452914798206281</v>
      </c>
      <c r="J158" s="10">
        <f>(7.23*0.23+6.4*0.4+6*1.6)/$H158</f>
        <v>6.1986098654708535</v>
      </c>
      <c r="K158" s="12">
        <f>(160*0.23+240*0.4+200*1.6)/$H158</f>
        <v>203.0493273542601</v>
      </c>
      <c r="L158" s="8"/>
      <c r="M158" s="8"/>
    </row>
    <row r="159" spans="1:13" ht="17.25" customHeight="1" x14ac:dyDescent="0.2">
      <c r="A159" s="2" t="s">
        <v>364</v>
      </c>
      <c r="B159" s="2" t="s">
        <v>350</v>
      </c>
      <c r="C159" s="2" t="s">
        <v>162</v>
      </c>
      <c r="D159" s="2"/>
      <c r="E159" s="2" t="s">
        <v>26</v>
      </c>
      <c r="F159" s="2" t="s">
        <v>39</v>
      </c>
      <c r="G159" s="2" t="s">
        <v>40</v>
      </c>
      <c r="H159" s="8">
        <f>0.75+0.4+1.2</f>
        <v>2.3499999999999996</v>
      </c>
      <c r="I159" s="10">
        <f>(0.65*0.75+1*0.4+0.9*1.2)/$H159</f>
        <v>0.83723404255319167</v>
      </c>
      <c r="J159" s="10">
        <f>(9.18*0.75+9.7*0.4+9*1.2)/$H159</f>
        <v>9.176595744680851</v>
      </c>
      <c r="K159" s="12">
        <f>(105*0.75+100*0.4+80*1.2)/$H159</f>
        <v>91.382978723404264</v>
      </c>
      <c r="L159" s="8"/>
      <c r="M159" s="8"/>
    </row>
    <row r="160" spans="1:13" ht="17.25" customHeight="1" x14ac:dyDescent="0.2">
      <c r="A160" s="2" t="s">
        <v>365</v>
      </c>
      <c r="B160" s="2" t="s">
        <v>350</v>
      </c>
      <c r="C160" s="2" t="s">
        <v>30</v>
      </c>
      <c r="D160" s="2"/>
      <c r="E160" s="2" t="s">
        <v>26</v>
      </c>
      <c r="F160" s="2" t="s">
        <v>366</v>
      </c>
      <c r="G160" s="2" t="s">
        <v>367</v>
      </c>
      <c r="H160" s="8">
        <f>1.5+0.248+9.283+2.572+6.197+0.943</f>
        <v>20.742999999999999</v>
      </c>
      <c r="I160" s="8">
        <f>(0.96*1.5+0.55*0.248+0.66*9.283+0.92*2.572+0.86*6.197+0.43*0.943)/$H160</f>
        <v>0.76191148821289112</v>
      </c>
      <c r="J160" s="8">
        <f>(0.13*1.5+0.31*0.248+1.32*9.283+1.36*2.572+1.74*6.197+1.61*0.943)/$H160</f>
        <v>1.3654905269247457</v>
      </c>
      <c r="K160" s="10">
        <f>(95.9*1.5+71.2*0.248+44.1*9.283+33.4*2.572+213.6*6.197+193.1*0.943)/$H160</f>
        <v>104.25518006074338</v>
      </c>
      <c r="L160" s="8"/>
      <c r="M160" s="8"/>
    </row>
    <row r="161" spans="1:13" ht="17.25" customHeight="1" x14ac:dyDescent="0.2">
      <c r="A161" s="2" t="s">
        <v>368</v>
      </c>
      <c r="B161" s="2" t="s">
        <v>350</v>
      </c>
      <c r="C161" s="2" t="s">
        <v>30</v>
      </c>
      <c r="D161" s="2"/>
      <c r="E161" s="2" t="s">
        <v>26</v>
      </c>
      <c r="F161" s="2" t="s">
        <v>46</v>
      </c>
      <c r="G161" s="2" t="s">
        <v>47</v>
      </c>
      <c r="H161" s="8">
        <f>2.1+0.7+0.5+0.2+3.1</f>
        <v>6.6</v>
      </c>
      <c r="I161" s="8">
        <f>(0.35*2.1+0.34*0.7+0.19*0.5+0.12*0.2+0.28*3.1)/$H161</f>
        <v>0.29696969696969699</v>
      </c>
      <c r="J161" s="8">
        <f>(2.85*2.1+2.55*0.7+2.16*0.5+1.47*0.2+2.53*3.1)/$H161</f>
        <v>2.5737878787878792</v>
      </c>
      <c r="K161" s="12">
        <f>(413*2.1+406*0.7+117*0.5+129*0.2+330*3.1)/$H161</f>
        <v>342.24242424242431</v>
      </c>
      <c r="L161" s="8"/>
      <c r="M161" s="8"/>
    </row>
    <row r="162" spans="1:13" ht="17.25" customHeight="1" x14ac:dyDescent="0.2">
      <c r="A162" s="2" t="s">
        <v>369</v>
      </c>
      <c r="B162" s="2" t="s">
        <v>370</v>
      </c>
      <c r="C162" s="2" t="s">
        <v>14</v>
      </c>
      <c r="D162" s="2" t="s">
        <v>38</v>
      </c>
      <c r="E162" s="2" t="s">
        <v>26</v>
      </c>
      <c r="F162" s="2" t="s">
        <v>371</v>
      </c>
      <c r="G162" s="2" t="s">
        <v>77</v>
      </c>
      <c r="H162" s="8">
        <v>14.4</v>
      </c>
      <c r="I162" s="8">
        <v>0.76</v>
      </c>
      <c r="J162" s="8">
        <v>1.75</v>
      </c>
      <c r="K162" s="8">
        <v>6.93</v>
      </c>
      <c r="L162" s="8"/>
      <c r="M162" s="8"/>
    </row>
    <row r="163" spans="1:13" ht="17.25" customHeight="1" x14ac:dyDescent="0.2">
      <c r="A163" s="2" t="s">
        <v>372</v>
      </c>
      <c r="B163" s="2" t="s">
        <v>370</v>
      </c>
      <c r="C163" s="2" t="s">
        <v>14</v>
      </c>
      <c r="D163" s="2"/>
      <c r="E163" s="2" t="s">
        <v>26</v>
      </c>
      <c r="F163" s="2" t="s">
        <v>371</v>
      </c>
      <c r="G163" s="2" t="s">
        <v>77</v>
      </c>
      <c r="H163" s="8">
        <v>10.9</v>
      </c>
      <c r="I163" s="8">
        <v>1.4</v>
      </c>
      <c r="J163" s="8">
        <v>1.8</v>
      </c>
      <c r="K163" s="9"/>
      <c r="L163" s="8"/>
      <c r="M163" s="8"/>
    </row>
    <row r="164" spans="1:13" ht="17.25" customHeight="1" x14ac:dyDescent="0.2">
      <c r="A164" s="2" t="s">
        <v>373</v>
      </c>
      <c r="B164" s="2" t="s">
        <v>374</v>
      </c>
      <c r="C164" s="2" t="s">
        <v>24</v>
      </c>
      <c r="D164" s="2"/>
      <c r="E164" s="2" t="s">
        <v>26</v>
      </c>
      <c r="F164" s="2" t="s">
        <v>375</v>
      </c>
      <c r="G164" s="2" t="s">
        <v>376</v>
      </c>
      <c r="H164" s="8">
        <f>2.4+2.5+3.2+14.2+11.5</f>
        <v>33.799999999999997</v>
      </c>
      <c r="I164" s="8">
        <f>(2.5*2.4+1.18*2.5+1.4*3.2+1.23*14.2+1.7*11.5)/$H164</f>
        <v>1.4924852071005918</v>
      </c>
      <c r="J164" s="8">
        <f>(7.15*2.4+3.5*2.5+3.9*3.2+3.39*14.2+5*11.5)/$H164</f>
        <v>4.2611834319526629</v>
      </c>
      <c r="K164" s="12">
        <f>(73*2.4+37*2.5+39*3.2+29*14.2+40*11.5)/$H164</f>
        <v>37.405325443786985</v>
      </c>
      <c r="L164" s="8">
        <f>(0.51*2.4+1.36*2.5+0.8*3.2+0.07*14.2+0.1*11.5)/$H164</f>
        <v>0.27597633136094679</v>
      </c>
      <c r="M164" s="8">
        <f>(0.24*2.4+0.64*2.5+0.7*3.2+0.18*14.2+0.3*11.5)/$H164</f>
        <v>0.30834319526627219</v>
      </c>
    </row>
    <row r="165" spans="1:13" ht="17.25" customHeight="1" x14ac:dyDescent="0.2">
      <c r="A165" s="2" t="s">
        <v>377</v>
      </c>
      <c r="B165" s="2" t="s">
        <v>374</v>
      </c>
      <c r="C165" s="2" t="s">
        <v>14</v>
      </c>
      <c r="D165" s="2"/>
      <c r="E165" s="7" t="s">
        <v>16</v>
      </c>
      <c r="F165" s="2" t="s">
        <v>17</v>
      </c>
      <c r="G165" s="2" t="s">
        <v>378</v>
      </c>
      <c r="H165" s="9">
        <v>7</v>
      </c>
      <c r="I165" s="8">
        <v>4.7</v>
      </c>
      <c r="J165" s="8">
        <v>0.6</v>
      </c>
      <c r="K165" s="9">
        <v>30</v>
      </c>
      <c r="L165" s="8"/>
      <c r="M165" s="8"/>
    </row>
    <row r="166" spans="1:13" ht="17.25" customHeight="1" x14ac:dyDescent="0.2">
      <c r="A166" s="2" t="s">
        <v>379</v>
      </c>
      <c r="B166" s="2" t="s">
        <v>374</v>
      </c>
      <c r="C166" s="2" t="s">
        <v>14</v>
      </c>
      <c r="D166" s="2" t="s">
        <v>38</v>
      </c>
      <c r="E166" s="7" t="s">
        <v>16</v>
      </c>
      <c r="F166" s="2" t="s">
        <v>17</v>
      </c>
      <c r="G166" s="2" t="s">
        <v>378</v>
      </c>
      <c r="H166" s="8">
        <v>1.5</v>
      </c>
      <c r="I166" s="8">
        <v>3.5</v>
      </c>
      <c r="J166" s="8">
        <v>3.5</v>
      </c>
      <c r="K166" s="9">
        <v>60</v>
      </c>
      <c r="L166" s="8"/>
      <c r="M166" s="8"/>
    </row>
    <row r="167" spans="1:13" ht="17.25" customHeight="1" x14ac:dyDescent="0.2">
      <c r="A167" s="2" t="s">
        <v>380</v>
      </c>
      <c r="B167" s="2" t="s">
        <v>374</v>
      </c>
      <c r="C167" s="2" t="s">
        <v>14</v>
      </c>
      <c r="D167" s="2" t="s">
        <v>15</v>
      </c>
      <c r="E167" s="7" t="s">
        <v>16</v>
      </c>
      <c r="F167" s="2" t="s">
        <v>17</v>
      </c>
      <c r="G167" s="2" t="s">
        <v>20</v>
      </c>
      <c r="H167" s="9">
        <v>3</v>
      </c>
      <c r="I167" s="8"/>
      <c r="J167" s="8">
        <v>4.5</v>
      </c>
      <c r="K167" s="9"/>
      <c r="L167" s="8"/>
      <c r="M167" s="8"/>
    </row>
    <row r="168" spans="1:13" ht="17.25" customHeight="1" x14ac:dyDescent="0.2">
      <c r="A168" s="2" t="s">
        <v>381</v>
      </c>
      <c r="B168" s="2" t="s">
        <v>374</v>
      </c>
      <c r="C168" s="2" t="s">
        <v>14</v>
      </c>
      <c r="D168" s="2"/>
      <c r="E168" s="7" t="s">
        <v>16</v>
      </c>
      <c r="F168" s="2" t="s">
        <v>17</v>
      </c>
      <c r="G168" s="2" t="s">
        <v>378</v>
      </c>
      <c r="H168" s="8">
        <v>1.5</v>
      </c>
      <c r="I168" s="8"/>
      <c r="J168" s="8">
        <v>7.9</v>
      </c>
      <c r="K168" s="9">
        <v>120</v>
      </c>
      <c r="L168" s="8"/>
      <c r="M168" s="8"/>
    </row>
    <row r="169" spans="1:13" ht="17.25" customHeight="1" x14ac:dyDescent="0.2">
      <c r="A169" s="2" t="s">
        <v>382</v>
      </c>
      <c r="B169" s="2" t="s">
        <v>374</v>
      </c>
      <c r="C169" s="2" t="s">
        <v>14</v>
      </c>
      <c r="D169" s="2" t="s">
        <v>15</v>
      </c>
      <c r="E169" s="7" t="s">
        <v>16</v>
      </c>
      <c r="F169" s="2" t="s">
        <v>17</v>
      </c>
      <c r="G169" s="2" t="s">
        <v>20</v>
      </c>
      <c r="H169" s="8">
        <v>0.1</v>
      </c>
      <c r="I169" s="8">
        <v>7.5</v>
      </c>
      <c r="J169" s="10">
        <v>4</v>
      </c>
      <c r="K169" s="9"/>
      <c r="L169" s="8"/>
      <c r="M169" s="8"/>
    </row>
    <row r="170" spans="1:13" ht="17.25" customHeight="1" x14ac:dyDescent="0.2">
      <c r="A170" s="2" t="s">
        <v>383</v>
      </c>
      <c r="B170" s="2" t="s">
        <v>374</v>
      </c>
      <c r="C170" s="2" t="s">
        <v>14</v>
      </c>
      <c r="D170" s="2" t="s">
        <v>38</v>
      </c>
      <c r="E170" s="7" t="s">
        <v>16</v>
      </c>
      <c r="F170" s="2" t="s">
        <v>17</v>
      </c>
      <c r="G170" s="2" t="s">
        <v>384</v>
      </c>
      <c r="H170" s="8">
        <v>9.4700000000000006</v>
      </c>
      <c r="I170" s="9">
        <v>2</v>
      </c>
      <c r="J170" s="8">
        <v>6.13</v>
      </c>
      <c r="K170" s="9"/>
      <c r="L170" s="8"/>
      <c r="M170" s="8"/>
    </row>
    <row r="171" spans="1:13" ht="17.25" customHeight="1" x14ac:dyDescent="0.2">
      <c r="A171" s="2" t="s">
        <v>385</v>
      </c>
      <c r="B171" s="2" t="s">
        <v>374</v>
      </c>
      <c r="C171" s="2" t="s">
        <v>14</v>
      </c>
      <c r="D171" s="2"/>
      <c r="E171" s="7" t="s">
        <v>16</v>
      </c>
      <c r="F171" s="2" t="s">
        <v>17</v>
      </c>
      <c r="G171" s="2" t="s">
        <v>386</v>
      </c>
      <c r="H171" s="8">
        <v>5.2</v>
      </c>
      <c r="I171" s="8">
        <v>6.3</v>
      </c>
      <c r="J171" s="8">
        <v>0.5</v>
      </c>
      <c r="K171" s="9">
        <v>33</v>
      </c>
      <c r="L171" s="8"/>
      <c r="M171" s="8"/>
    </row>
    <row r="172" spans="1:13" ht="17.25" customHeight="1" x14ac:dyDescent="0.2">
      <c r="A172" s="2" t="s">
        <v>387</v>
      </c>
      <c r="B172" s="2" t="s">
        <v>374</v>
      </c>
      <c r="C172" s="2" t="s">
        <v>24</v>
      </c>
      <c r="D172" s="2"/>
      <c r="E172" s="2" t="s">
        <v>26</v>
      </c>
      <c r="F172" s="2" t="s">
        <v>17</v>
      </c>
      <c r="G172" s="2" t="s">
        <v>388</v>
      </c>
      <c r="H172" s="11">
        <f>1.381+1.747+0.329+1.471+1.65+0.31232</f>
        <v>6.8903200000000009</v>
      </c>
      <c r="I172" s="8">
        <f>(1.41*1.381+1.38*1.747+1.17*0.329+0.32*1.471+0.2*4.46*1.65+0.2*3*0.31232)/H172</f>
        <v>0.997473557106201</v>
      </c>
      <c r="J172" s="8">
        <f>(5.11*1.381+5.18*1.747+5.86*0.329+4.48*1.471+0.8*4.46*1.65+0.8*3*0.31232)/H172</f>
        <v>4.5369675138455099</v>
      </c>
      <c r="K172" s="10">
        <f>(33.4*1.381+31.88*1.747+22.57*0.329+28.19*1.471+16.6*1.65+0*0.31232)/H172</f>
        <v>25.848259587363138</v>
      </c>
      <c r="L172" s="8">
        <f>(1.32*1.381+1.25*1.747+0.46*0.329+1.11*1.471+0.32*1.65+0.3*0.31232)/H172</f>
        <v>0.93065576054522858</v>
      </c>
      <c r="M172" s="8">
        <f>(0*1.381+0*1.747+0*0.329+0.12*1.471+0.04*1.65+0*0.31232)/H172</f>
        <v>3.5197204193709433E-2</v>
      </c>
    </row>
    <row r="173" spans="1:13" ht="17.25" customHeight="1" x14ac:dyDescent="0.2">
      <c r="A173" s="2" t="s">
        <v>389</v>
      </c>
      <c r="B173" s="2" t="s">
        <v>374</v>
      </c>
      <c r="C173" s="2" t="s">
        <v>14</v>
      </c>
      <c r="D173" s="2" t="s">
        <v>15</v>
      </c>
      <c r="E173" s="7" t="s">
        <v>16</v>
      </c>
      <c r="F173" s="2" t="s">
        <v>17</v>
      </c>
      <c r="G173" s="2" t="s">
        <v>20</v>
      </c>
      <c r="H173" s="8">
        <v>3.3</v>
      </c>
      <c r="I173" s="8">
        <v>4.13</v>
      </c>
      <c r="J173" s="8">
        <v>1.88</v>
      </c>
      <c r="K173" s="9"/>
      <c r="L173" s="8"/>
      <c r="M173" s="8"/>
    </row>
    <row r="174" spans="1:13" ht="17.25" customHeight="1" x14ac:dyDescent="0.2">
      <c r="A174" s="2" t="s">
        <v>390</v>
      </c>
      <c r="B174" s="2" t="s">
        <v>374</v>
      </c>
      <c r="C174" s="2" t="s">
        <v>14</v>
      </c>
      <c r="D174" s="2"/>
      <c r="E174" s="7" t="s">
        <v>16</v>
      </c>
      <c r="F174" s="2" t="s">
        <v>17</v>
      </c>
      <c r="G174" s="2" t="s">
        <v>378</v>
      </c>
      <c r="H174" s="9">
        <v>46</v>
      </c>
      <c r="I174" s="8">
        <v>1.3</v>
      </c>
      <c r="J174" s="8">
        <v>0.9</v>
      </c>
      <c r="K174" s="9">
        <v>12</v>
      </c>
      <c r="L174" s="8"/>
      <c r="M174" s="8"/>
    </row>
    <row r="175" spans="1:13" ht="17.25" customHeight="1" x14ac:dyDescent="0.2">
      <c r="A175" s="2" t="s">
        <v>391</v>
      </c>
      <c r="B175" s="2" t="s">
        <v>374</v>
      </c>
      <c r="C175" s="2" t="s">
        <v>14</v>
      </c>
      <c r="D175" s="2" t="s">
        <v>15</v>
      </c>
      <c r="E175" s="7" t="s">
        <v>16</v>
      </c>
      <c r="F175" s="2" t="s">
        <v>17</v>
      </c>
      <c r="G175" s="2" t="s">
        <v>20</v>
      </c>
      <c r="H175" s="10">
        <v>7</v>
      </c>
      <c r="I175" s="8">
        <v>1.4</v>
      </c>
      <c r="J175" s="8">
        <v>7.6</v>
      </c>
      <c r="K175" s="9"/>
      <c r="L175" s="8"/>
      <c r="M175" s="8"/>
    </row>
    <row r="176" spans="1:13" ht="17.25" customHeight="1" x14ac:dyDescent="0.2">
      <c r="A176" s="2" t="s">
        <v>392</v>
      </c>
      <c r="B176" s="2" t="s">
        <v>374</v>
      </c>
      <c r="C176" s="2" t="s">
        <v>14</v>
      </c>
      <c r="D176" s="2"/>
      <c r="E176" s="7" t="s">
        <v>16</v>
      </c>
      <c r="F176" s="2" t="s">
        <v>17</v>
      </c>
      <c r="G176" s="2" t="s">
        <v>393</v>
      </c>
      <c r="H176" s="8">
        <v>18.8</v>
      </c>
      <c r="I176" s="8"/>
      <c r="J176" s="8">
        <v>23.7</v>
      </c>
      <c r="K176" s="9"/>
      <c r="L176" s="8"/>
      <c r="M176" s="8"/>
    </row>
    <row r="177" spans="1:13" ht="17.25" customHeight="1" x14ac:dyDescent="0.2">
      <c r="A177" s="2" t="s">
        <v>394</v>
      </c>
      <c r="B177" s="2" t="s">
        <v>395</v>
      </c>
      <c r="C177" s="2" t="s">
        <v>24</v>
      </c>
      <c r="D177" s="2"/>
      <c r="E177" s="2" t="s">
        <v>26</v>
      </c>
      <c r="F177" s="2" t="s">
        <v>39</v>
      </c>
      <c r="G177" s="2" t="s">
        <v>40</v>
      </c>
      <c r="H177" s="8">
        <f>0.96+4.8+7.2</f>
        <v>12.96</v>
      </c>
      <c r="I177" s="10">
        <f>(0*0.96+0.09*4.8+0.2*7.2)/$H177</f>
        <v>0.14444444444444443</v>
      </c>
      <c r="J177" s="10">
        <f>(15.1*0.96+10*4.8+9*7.2)/$H177</f>
        <v>9.8222222222222211</v>
      </c>
      <c r="K177" s="12">
        <f>(0*0.96+77*4.8+50*7.2)/$H177</f>
        <v>56.296296296296283</v>
      </c>
      <c r="L177" s="8"/>
      <c r="M177" s="8"/>
    </row>
    <row r="178" spans="1:13" ht="17.25" customHeight="1" x14ac:dyDescent="0.2">
      <c r="A178" s="2" t="s">
        <v>396</v>
      </c>
      <c r="B178" s="2" t="s">
        <v>397</v>
      </c>
      <c r="C178" s="2" t="s">
        <v>24</v>
      </c>
      <c r="D178" s="2"/>
      <c r="E178" s="2" t="s">
        <v>26</v>
      </c>
      <c r="F178" s="2" t="s">
        <v>398</v>
      </c>
      <c r="G178" s="2" t="s">
        <v>399</v>
      </c>
      <c r="H178" s="11">
        <f>6.264198+1.821799+2.041146</f>
        <v>10.127143</v>
      </c>
      <c r="I178" s="8"/>
      <c r="J178" s="8">
        <f>(3.09*6.264198+2.98*1.821799+2.89*2.041146)/$H178</f>
        <v>3.0299014025969613</v>
      </c>
      <c r="K178" s="10">
        <f>(43.93*6.264198+94.75*1.821799+114.32*2.041146)/$H178</f>
        <v>67.259392319235545</v>
      </c>
      <c r="L178" s="8"/>
      <c r="M178" s="8">
        <v>0.13800000000000001</v>
      </c>
    </row>
    <row r="179" spans="1:13" ht="17.25" customHeight="1" x14ac:dyDescent="0.2">
      <c r="A179" s="2" t="s">
        <v>400</v>
      </c>
      <c r="B179" s="2" t="s">
        <v>397</v>
      </c>
      <c r="C179" s="2" t="s">
        <v>14</v>
      </c>
      <c r="D179" s="2" t="s">
        <v>38</v>
      </c>
      <c r="E179" s="2" t="s">
        <v>26</v>
      </c>
      <c r="F179" s="2" t="s">
        <v>401</v>
      </c>
      <c r="G179" s="2" t="s">
        <v>402</v>
      </c>
      <c r="H179" s="8">
        <f>20.088+48.102</f>
        <v>68.19</v>
      </c>
      <c r="I179" s="8">
        <f>(1.31*20.088+0.83*48.102)/$H179</f>
        <v>0.97140255169379663</v>
      </c>
      <c r="J179" s="8">
        <f>(6.59*20.088+4.62*48.102)/$H179</f>
        <v>5.2003396392432908</v>
      </c>
      <c r="K179" s="10">
        <f>(11.2*20.088+8.1*48.102)/$H179</f>
        <v>9.0132248130224379</v>
      </c>
      <c r="L179" s="8"/>
      <c r="M179" s="8"/>
    </row>
    <row r="180" spans="1:13" ht="17.25" customHeight="1" x14ac:dyDescent="0.2">
      <c r="A180" s="2" t="s">
        <v>403</v>
      </c>
      <c r="B180" s="2" t="s">
        <v>397</v>
      </c>
      <c r="C180" s="2" t="s">
        <v>24</v>
      </c>
      <c r="D180" s="2"/>
      <c r="E180" s="7" t="s">
        <v>16</v>
      </c>
      <c r="F180" s="2" t="s">
        <v>404</v>
      </c>
      <c r="G180" s="2" t="s">
        <v>405</v>
      </c>
      <c r="H180" s="8">
        <f>1.7*0.9072</f>
        <v>1.5422400000000001</v>
      </c>
      <c r="I180" s="8"/>
      <c r="J180" s="10">
        <v>3</v>
      </c>
      <c r="K180" s="9"/>
      <c r="L180" s="8">
        <v>1.55</v>
      </c>
      <c r="M180" s="8"/>
    </row>
    <row r="181" spans="1:13" ht="17.25" customHeight="1" x14ac:dyDescent="0.2">
      <c r="A181" s="2" t="s">
        <v>406</v>
      </c>
      <c r="B181" s="2" t="s">
        <v>397</v>
      </c>
      <c r="C181" s="2" t="s">
        <v>14</v>
      </c>
      <c r="D181" s="2" t="s">
        <v>407</v>
      </c>
      <c r="E181" s="7" t="s">
        <v>16</v>
      </c>
      <c r="F181" s="2" t="s">
        <v>17</v>
      </c>
      <c r="G181" s="2" t="s">
        <v>408</v>
      </c>
      <c r="H181" s="11">
        <v>7.2430999999999995E-2</v>
      </c>
      <c r="I181" s="8">
        <v>2.84</v>
      </c>
      <c r="J181" s="8">
        <v>6.03</v>
      </c>
      <c r="K181" s="8">
        <v>366.7</v>
      </c>
      <c r="L181" s="8"/>
      <c r="M181" s="8"/>
    </row>
    <row r="182" spans="1:13" ht="17.25" customHeight="1" x14ac:dyDescent="0.2">
      <c r="A182" s="2" t="s">
        <v>409</v>
      </c>
      <c r="B182" s="2" t="s">
        <v>397</v>
      </c>
      <c r="C182" s="2" t="s">
        <v>410</v>
      </c>
      <c r="D182" s="2"/>
      <c r="E182" s="2" t="s">
        <v>26</v>
      </c>
      <c r="F182" s="2" t="s">
        <v>411</v>
      </c>
      <c r="G182" s="2" t="s">
        <v>82</v>
      </c>
      <c r="H182" s="8">
        <v>7.7619999999999996</v>
      </c>
      <c r="I182" s="8">
        <v>1.4</v>
      </c>
      <c r="J182" s="8">
        <v>5.8</v>
      </c>
      <c r="K182" s="8">
        <v>9.49</v>
      </c>
      <c r="L182" s="8"/>
      <c r="M182" s="8"/>
    </row>
    <row r="183" spans="1:13" ht="17.25" customHeight="1" x14ac:dyDescent="0.2">
      <c r="A183" s="2" t="s">
        <v>412</v>
      </c>
      <c r="B183" s="2" t="s">
        <v>397</v>
      </c>
      <c r="C183" s="2" t="s">
        <v>162</v>
      </c>
      <c r="D183" s="2"/>
      <c r="E183" s="7" t="s">
        <v>16</v>
      </c>
      <c r="F183" s="2" t="s">
        <v>17</v>
      </c>
      <c r="G183" s="2" t="s">
        <v>408</v>
      </c>
      <c r="H183" s="11">
        <v>0.113638</v>
      </c>
      <c r="I183" s="9">
        <v>5</v>
      </c>
      <c r="J183" s="10"/>
      <c r="K183" s="9">
        <v>600</v>
      </c>
      <c r="L183" s="8"/>
      <c r="M183" s="8"/>
    </row>
    <row r="184" spans="1:13" ht="17.25" customHeight="1" x14ac:dyDescent="0.2">
      <c r="A184" s="2" t="s">
        <v>413</v>
      </c>
      <c r="B184" s="2" t="s">
        <v>397</v>
      </c>
      <c r="C184" s="2" t="s">
        <v>24</v>
      </c>
      <c r="D184" s="2"/>
      <c r="E184" s="2" t="s">
        <v>26</v>
      </c>
      <c r="F184" s="2" t="s">
        <v>404</v>
      </c>
      <c r="G184" s="2" t="s">
        <v>376</v>
      </c>
      <c r="H184" s="11">
        <f>0.152826+0.123096</f>
        <v>0.275922</v>
      </c>
      <c r="I184" s="8"/>
      <c r="J184" s="8">
        <f>(5.26*0.152826+3.3*0.123096)/$H184</f>
        <v>4.3855928849457451</v>
      </c>
      <c r="K184" s="10">
        <f>(52.54*0.152826+42.5*0.123096)/$H184</f>
        <v>48.060894165742489</v>
      </c>
      <c r="L184" s="8">
        <f>(1.05*0.152826+0.65*0.123096)/$H184</f>
        <v>0.87154956835627462</v>
      </c>
      <c r="M184" s="8">
        <f>(1.39*0.152826+1.2*0.123096)/$H184</f>
        <v>1.3052360449692302</v>
      </c>
    </row>
    <row r="185" spans="1:13" ht="17.25" customHeight="1" x14ac:dyDescent="0.2">
      <c r="A185" s="2" t="s">
        <v>414</v>
      </c>
      <c r="B185" s="2" t="s">
        <v>397</v>
      </c>
      <c r="C185" s="2" t="s">
        <v>24</v>
      </c>
      <c r="D185" s="2"/>
      <c r="E185" s="7" t="s">
        <v>16</v>
      </c>
      <c r="F185" s="2" t="s">
        <v>415</v>
      </c>
      <c r="G185" s="2" t="s">
        <v>416</v>
      </c>
      <c r="H185" s="11">
        <v>1.13625</v>
      </c>
      <c r="I185" s="8">
        <v>2.2000000000000002</v>
      </c>
      <c r="J185" s="8">
        <v>5.0999999999999996</v>
      </c>
      <c r="K185" s="9">
        <v>336</v>
      </c>
      <c r="L185" s="8"/>
      <c r="M185" s="8">
        <v>0.6</v>
      </c>
    </row>
    <row r="186" spans="1:13" ht="17.25" customHeight="1" x14ac:dyDescent="0.2">
      <c r="A186" s="2" t="s">
        <v>417</v>
      </c>
      <c r="B186" s="2" t="s">
        <v>397</v>
      </c>
      <c r="C186" s="2" t="s">
        <v>14</v>
      </c>
      <c r="D186" s="2" t="s">
        <v>15</v>
      </c>
      <c r="E186" s="7" t="s">
        <v>16</v>
      </c>
      <c r="F186" s="2" t="s">
        <v>17</v>
      </c>
      <c r="G186" s="2" t="s">
        <v>416</v>
      </c>
      <c r="H186" s="8">
        <v>9.07</v>
      </c>
      <c r="I186" s="8">
        <v>2.6</v>
      </c>
      <c r="J186" s="8">
        <v>5.4</v>
      </c>
      <c r="K186" s="8">
        <v>17.100000000000001</v>
      </c>
      <c r="L186" s="8"/>
      <c r="M186" s="8"/>
    </row>
    <row r="187" spans="1:13" ht="17.25" customHeight="1" x14ac:dyDescent="0.2">
      <c r="A187" s="2" t="s">
        <v>418</v>
      </c>
      <c r="B187" s="2" t="s">
        <v>397</v>
      </c>
      <c r="C187" s="2" t="s">
        <v>24</v>
      </c>
      <c r="D187" s="2"/>
      <c r="E187" s="2" t="s">
        <v>26</v>
      </c>
      <c r="F187" s="2" t="s">
        <v>404</v>
      </c>
      <c r="G187" s="2" t="s">
        <v>376</v>
      </c>
      <c r="H187" s="11">
        <v>6.6625000000000004E-2</v>
      </c>
      <c r="I187" s="8"/>
      <c r="J187" s="8">
        <v>5.71</v>
      </c>
      <c r="K187" s="8">
        <v>19.22</v>
      </c>
      <c r="L187" s="8">
        <v>0.18</v>
      </c>
      <c r="M187" s="8">
        <v>1.05</v>
      </c>
    </row>
    <row r="188" spans="1:13" ht="17.25" customHeight="1" x14ac:dyDescent="0.2">
      <c r="A188" s="2" t="s">
        <v>419</v>
      </c>
      <c r="B188" s="2" t="s">
        <v>397</v>
      </c>
      <c r="C188" s="2" t="s">
        <v>14</v>
      </c>
      <c r="D188" s="2" t="s">
        <v>420</v>
      </c>
      <c r="E188" s="7" t="s">
        <v>16</v>
      </c>
      <c r="F188" s="2" t="s">
        <v>17</v>
      </c>
      <c r="G188" s="2" t="s">
        <v>408</v>
      </c>
      <c r="H188" s="9">
        <v>5</v>
      </c>
      <c r="I188" s="8">
        <v>2.2999999999999998</v>
      </c>
      <c r="J188" s="8">
        <v>0.6</v>
      </c>
      <c r="K188" s="9">
        <v>7</v>
      </c>
      <c r="L188" s="8"/>
      <c r="M188" s="8"/>
    </row>
    <row r="189" spans="1:13" ht="17.25" customHeight="1" x14ac:dyDescent="0.2">
      <c r="A189" s="2" t="s">
        <v>421</v>
      </c>
      <c r="B189" s="2" t="s">
        <v>397</v>
      </c>
      <c r="C189" s="2" t="s">
        <v>24</v>
      </c>
      <c r="D189" s="2"/>
      <c r="E189" s="7" t="s">
        <v>16</v>
      </c>
      <c r="F189" s="2" t="s">
        <v>422</v>
      </c>
      <c r="G189" s="2" t="s">
        <v>423</v>
      </c>
      <c r="H189" s="11">
        <v>1.3889149999999999</v>
      </c>
      <c r="I189" s="8"/>
      <c r="J189" s="8">
        <v>3.17</v>
      </c>
      <c r="K189" s="9"/>
      <c r="L189" s="8"/>
      <c r="M189" s="8">
        <v>1.77</v>
      </c>
    </row>
    <row r="190" spans="1:13" ht="17.25" customHeight="1" x14ac:dyDescent="0.2">
      <c r="A190" s="2" t="s">
        <v>424</v>
      </c>
      <c r="B190" s="2" t="s">
        <v>397</v>
      </c>
      <c r="C190" s="2" t="s">
        <v>24</v>
      </c>
      <c r="D190" s="2"/>
      <c r="E190" s="7" t="s">
        <v>16</v>
      </c>
      <c r="F190" s="2" t="s">
        <v>422</v>
      </c>
      <c r="G190" s="2" t="s">
        <v>423</v>
      </c>
      <c r="H190" s="11">
        <v>0.25963700000000001</v>
      </c>
      <c r="I190" s="8"/>
      <c r="J190" s="8">
        <v>3.05</v>
      </c>
      <c r="K190" s="9"/>
      <c r="L190" s="8"/>
      <c r="M190" s="8">
        <v>0.57999999999999996</v>
      </c>
    </row>
    <row r="191" spans="1:13" ht="17.25" customHeight="1" x14ac:dyDescent="0.2">
      <c r="A191" s="2" t="s">
        <v>425</v>
      </c>
      <c r="B191" s="2" t="s">
        <v>397</v>
      </c>
      <c r="C191" s="2" t="s">
        <v>14</v>
      </c>
      <c r="D191" s="2" t="s">
        <v>333</v>
      </c>
      <c r="E191" s="7" t="s">
        <v>16</v>
      </c>
      <c r="F191" s="2" t="s">
        <v>17</v>
      </c>
      <c r="G191" s="2" t="s">
        <v>408</v>
      </c>
      <c r="H191" s="11">
        <v>2.7212999999999998</v>
      </c>
      <c r="I191" s="8">
        <v>3.66</v>
      </c>
      <c r="J191" s="8"/>
      <c r="K191" s="8">
        <v>36.299999999999997</v>
      </c>
      <c r="L191" s="8"/>
      <c r="M191" s="8"/>
    </row>
    <row r="192" spans="1:13" ht="17.25" customHeight="1" x14ac:dyDescent="0.2">
      <c r="A192" s="2" t="s">
        <v>426</v>
      </c>
      <c r="B192" s="2" t="s">
        <v>397</v>
      </c>
      <c r="C192" s="2" t="s">
        <v>24</v>
      </c>
      <c r="D192" s="2"/>
      <c r="E192" s="2" t="s">
        <v>26</v>
      </c>
      <c r="F192" s="2" t="s">
        <v>427</v>
      </c>
      <c r="G192" s="2" t="s">
        <v>428</v>
      </c>
      <c r="H192" s="8">
        <f>0.231+0.728</f>
        <v>0.95899999999999996</v>
      </c>
      <c r="I192" s="8">
        <f>(1.2*0.231+2.42*0.728)/$H192</f>
        <v>2.1261313868613136</v>
      </c>
      <c r="J192" s="8">
        <f>(3.22*0.231+5.61*0.728)/$H192</f>
        <v>5.0343065693430669</v>
      </c>
      <c r="K192" s="12">
        <f>(152*0.231+185*0.728)/$H192</f>
        <v>177.05109489051097</v>
      </c>
      <c r="L192" s="8">
        <f>(0.38*0.231+0.34*0.728)/$H192</f>
        <v>0.34963503649635042</v>
      </c>
      <c r="M192" s="10">
        <f>(2.9*0.231+3.9*0.728)/$H192</f>
        <v>3.6591240875912412</v>
      </c>
    </row>
    <row r="193" spans="1:13" ht="17.25" customHeight="1" x14ac:dyDescent="0.2">
      <c r="A193" s="2" t="s">
        <v>429</v>
      </c>
      <c r="B193" s="2" t="s">
        <v>397</v>
      </c>
      <c r="C193" s="2" t="s">
        <v>14</v>
      </c>
      <c r="D193" s="2" t="s">
        <v>38</v>
      </c>
      <c r="E193" s="7" t="s">
        <v>16</v>
      </c>
      <c r="F193" s="2" t="s">
        <v>17</v>
      </c>
      <c r="G193" s="2" t="s">
        <v>430</v>
      </c>
      <c r="H193" s="8">
        <v>6.5</v>
      </c>
      <c r="I193" s="8"/>
      <c r="J193" s="9">
        <v>4</v>
      </c>
      <c r="K193" s="9"/>
      <c r="L193" s="8"/>
      <c r="M193" s="8"/>
    </row>
    <row r="194" spans="1:13" ht="17.25" customHeight="1" x14ac:dyDescent="0.2">
      <c r="A194" s="2" t="s">
        <v>431</v>
      </c>
      <c r="B194" s="2" t="s">
        <v>397</v>
      </c>
      <c r="C194" s="2" t="s">
        <v>14</v>
      </c>
      <c r="D194" s="2" t="s">
        <v>15</v>
      </c>
      <c r="E194" s="7" t="s">
        <v>16</v>
      </c>
      <c r="F194" s="2" t="s">
        <v>432</v>
      </c>
      <c r="G194" s="2" t="s">
        <v>356</v>
      </c>
      <c r="H194" s="11">
        <f>0.04874*0.9072</f>
        <v>4.4216927999999996E-2</v>
      </c>
      <c r="I194" s="8">
        <v>7.94</v>
      </c>
      <c r="J194" s="8">
        <v>6.74</v>
      </c>
      <c r="K194" s="8">
        <v>161.1</v>
      </c>
      <c r="L194" s="8"/>
      <c r="M194" s="10">
        <f>0.13*31.1/0.9072</f>
        <v>4.4565696649029984</v>
      </c>
    </row>
    <row r="195" spans="1:13" ht="17.25" customHeight="1" x14ac:dyDescent="0.2">
      <c r="A195" s="2" t="s">
        <v>433</v>
      </c>
      <c r="B195" s="2" t="s">
        <v>397</v>
      </c>
      <c r="C195" s="2" t="s">
        <v>14</v>
      </c>
      <c r="D195" s="2" t="s">
        <v>15</v>
      </c>
      <c r="E195" s="2" t="s">
        <v>26</v>
      </c>
      <c r="F195" s="2" t="s">
        <v>434</v>
      </c>
      <c r="G195" s="2" t="s">
        <v>435</v>
      </c>
      <c r="H195" s="8">
        <v>19.600000000000001</v>
      </c>
      <c r="I195" s="8">
        <v>2.8</v>
      </c>
      <c r="J195" s="8">
        <v>3.04</v>
      </c>
      <c r="K195" s="10">
        <v>56</v>
      </c>
      <c r="L195" s="8"/>
      <c r="M195" s="8"/>
    </row>
    <row r="196" spans="1:13" ht="17.25" customHeight="1" x14ac:dyDescent="0.2">
      <c r="A196" s="2" t="s">
        <v>436</v>
      </c>
      <c r="B196" s="2" t="s">
        <v>397</v>
      </c>
      <c r="C196" s="2" t="s">
        <v>24</v>
      </c>
      <c r="D196" s="2"/>
      <c r="E196" s="2" t="s">
        <v>26</v>
      </c>
      <c r="F196" s="2" t="s">
        <v>437</v>
      </c>
      <c r="G196" s="2" t="s">
        <v>438</v>
      </c>
      <c r="H196" s="8">
        <f>1.095+1.177</f>
        <v>2.2720000000000002</v>
      </c>
      <c r="I196" s="8">
        <f>(0.44*1.095+0.27*1.177)/H196</f>
        <v>0.3519322183098591</v>
      </c>
      <c r="J196" s="8">
        <f>(4.61*1.095+3.75*1.177)/H196</f>
        <v>4.1644806338028166</v>
      </c>
      <c r="K196" s="10">
        <f>(16.56*1.095+10.95*1.177)/H196</f>
        <v>13.653763204225349</v>
      </c>
      <c r="L196" s="8">
        <f>(0.86*1.095+0.95*1.177)/H196</f>
        <v>0.9066241197183097</v>
      </c>
      <c r="M196" s="8">
        <f>(0.2*1.095+0.06*1.177)/H196</f>
        <v>0.12747359154929574</v>
      </c>
    </row>
    <row r="197" spans="1:13" ht="17.25" customHeight="1" x14ac:dyDescent="0.2">
      <c r="A197" s="2" t="s">
        <v>439</v>
      </c>
      <c r="B197" s="2" t="s">
        <v>397</v>
      </c>
      <c r="C197" s="2" t="s">
        <v>24</v>
      </c>
      <c r="D197" s="2"/>
      <c r="E197" s="2" t="s">
        <v>26</v>
      </c>
      <c r="F197" s="2" t="s">
        <v>440</v>
      </c>
      <c r="G197" s="2" t="s">
        <v>435</v>
      </c>
      <c r="H197" s="11">
        <f>0.2782+1.3688+0.4302</f>
        <v>2.0771999999999999</v>
      </c>
      <c r="I197" s="8">
        <f>(2.88*0.2782+3*1.3688+2.7*0.4302)/$H197</f>
        <v>2.9217966493356444</v>
      </c>
      <c r="J197" s="8">
        <f>(6.71*0.2782+7.07*1.3688+6.1*0.4302)/$H197</f>
        <v>6.8208925476603124</v>
      </c>
      <c r="K197" s="10">
        <f>(96.51*0.2782+110.22*1.3688+89*0.4302)/$H197</f>
        <v>103.98903235124206</v>
      </c>
      <c r="L197" s="8">
        <f>(0.44*0.2782+0.51*1.3688+0.4*0.4302)/$H197</f>
        <v>0.47784325052955906</v>
      </c>
      <c r="M197" s="8">
        <f>(1.29*0.2782+1.66*1.3688+0.6*0.4302)/$H197</f>
        <v>1.3909137300211822</v>
      </c>
    </row>
    <row r="198" spans="1:13" ht="17.25" customHeight="1" x14ac:dyDescent="0.2">
      <c r="A198" s="2" t="s">
        <v>441</v>
      </c>
      <c r="B198" s="2" t="s">
        <v>397</v>
      </c>
      <c r="C198" s="2" t="s">
        <v>24</v>
      </c>
      <c r="D198" s="2" t="s">
        <v>24</v>
      </c>
      <c r="E198" s="7" t="s">
        <v>16</v>
      </c>
      <c r="F198" s="2" t="s">
        <v>17</v>
      </c>
      <c r="G198" s="2" t="s">
        <v>408</v>
      </c>
      <c r="H198" s="11">
        <f>0.148+0.148</f>
        <v>0.29599999999999999</v>
      </c>
      <c r="I198" s="8">
        <f>(0.53*0.148+1*0.148)/$H198</f>
        <v>0.7649999999999999</v>
      </c>
      <c r="J198" s="8">
        <f>(2.43*0.148+2.72*0.148)/$H198</f>
        <v>2.5750000000000002</v>
      </c>
      <c r="K198" s="10">
        <f>(49.7*0.148+54.9*0.148)/$H198</f>
        <v>52.3</v>
      </c>
      <c r="L198" s="8">
        <f>(0.19*0.148+0.2*0.148)/$H198</f>
        <v>0.19500000000000001</v>
      </c>
      <c r="M198" s="8"/>
    </row>
    <row r="199" spans="1:13" ht="17.25" customHeight="1" x14ac:dyDescent="0.2">
      <c r="A199" s="2" t="s">
        <v>442</v>
      </c>
      <c r="B199" s="2" t="s">
        <v>397</v>
      </c>
      <c r="C199" s="2" t="s">
        <v>24</v>
      </c>
      <c r="D199" s="2"/>
      <c r="E199" s="2" t="s">
        <v>26</v>
      </c>
      <c r="F199" s="2" t="s">
        <v>443</v>
      </c>
      <c r="G199" s="2" t="s">
        <v>438</v>
      </c>
      <c r="H199" s="8">
        <f>1.475+2.975</f>
        <v>4.45</v>
      </c>
      <c r="I199" s="8">
        <f>(0.23*1.475+0.13*2.975)/$H199</f>
        <v>0.16314606741573034</v>
      </c>
      <c r="J199" s="8">
        <f>(9.18*1.475+5.55*2.975)/$H199</f>
        <v>6.7532022471910107</v>
      </c>
      <c r="K199" s="10">
        <f>(32.6*1.475+13.9*2.975)/$H199</f>
        <v>20.098314606741571</v>
      </c>
      <c r="L199" s="8">
        <f>(0.79*1.475+0.55*2.975)/$H199</f>
        <v>0.62955056179775282</v>
      </c>
      <c r="M199" s="8">
        <f>(0.15*1.475+0.1*2.975)/$H199</f>
        <v>0.11657303370786518</v>
      </c>
    </row>
    <row r="200" spans="1:13" ht="17.25" customHeight="1" x14ac:dyDescent="0.2">
      <c r="A200" s="2" t="s">
        <v>444</v>
      </c>
      <c r="B200" s="2" t="s">
        <v>397</v>
      </c>
      <c r="C200" s="2" t="s">
        <v>24</v>
      </c>
      <c r="D200" s="2"/>
      <c r="E200" s="2" t="s">
        <v>26</v>
      </c>
      <c r="F200" s="2" t="s">
        <v>39</v>
      </c>
      <c r="G200" s="2" t="s">
        <v>40</v>
      </c>
      <c r="H200" s="8">
        <f>2.18+1.1+2.6</f>
        <v>5.8800000000000008</v>
      </c>
      <c r="I200" s="8"/>
      <c r="J200" s="8">
        <f>(8.9*2.18+8.5*1.1+9*2.6)/$H200</f>
        <v>8.8693877551020393</v>
      </c>
      <c r="K200" s="10">
        <f>(33.9*2.18+21*1.1+40*2.6)/$H200</f>
        <v>34.184013605442175</v>
      </c>
      <c r="L200" s="8">
        <f>(1.53*2.18+1.1*1.1+1*2.6)/$H200</f>
        <v>1.215204081632653</v>
      </c>
      <c r="M200" s="10">
        <f>(0.46*2.18+0.5*1.1+1*2.6)/$H200</f>
        <v>0.70625850340136043</v>
      </c>
    </row>
    <row r="201" spans="1:13" ht="17.25" customHeight="1" x14ac:dyDescent="0.2">
      <c r="A201" s="2" t="s">
        <v>445</v>
      </c>
      <c r="B201" s="2" t="s">
        <v>397</v>
      </c>
      <c r="C201" s="2" t="s">
        <v>24</v>
      </c>
      <c r="D201" s="2"/>
      <c r="E201" s="7" t="s">
        <v>16</v>
      </c>
      <c r="F201" s="2" t="s">
        <v>17</v>
      </c>
      <c r="G201" s="2" t="s">
        <v>408</v>
      </c>
      <c r="H201" s="11">
        <f>0.146224+0.101413+0.05506+0.1348+0.059071</f>
        <v>0.49656800000000001</v>
      </c>
      <c r="I201" s="8">
        <f>(0.19*0.146224+0.19*0.101413+0.27*0.05506+5*0.1348+2*0.059071)/$H201</f>
        <v>1.7199240184627282</v>
      </c>
      <c r="J201" s="8">
        <f>(0.43*0.146224+0.43*0.101413+0.45*0.05506+0*0.1348+0*0.059071)/$H201</f>
        <v>0.26433622384044081</v>
      </c>
      <c r="K201" s="10">
        <f>(414.7*0.146224+414.7*0.101413+397.6*0.05506+85.7*0.1348+26.73*0.059071)/$H201</f>
        <v>277.34015830661662</v>
      </c>
      <c r="L201" s="8">
        <f>(0*0.146224+0*0.101413+0*0.05506+0.65*0.1348+0*0.059071)/$H201</f>
        <v>0.17645116076750819</v>
      </c>
      <c r="M201" s="8">
        <f>(0.27*0.146224+0.27*0.101413+0.68*0.05506+1.03*0.1348+9.08*0.059071)/$H201</f>
        <v>1.5697980337033399</v>
      </c>
    </row>
    <row r="202" spans="1:13" ht="17.25" customHeight="1" x14ac:dyDescent="0.2">
      <c r="A202" s="2" t="s">
        <v>446</v>
      </c>
      <c r="B202" s="2" t="s">
        <v>397</v>
      </c>
      <c r="C202" s="2" t="s">
        <v>447</v>
      </c>
      <c r="D202" s="2"/>
      <c r="E202" s="2" t="s">
        <v>26</v>
      </c>
      <c r="F202" s="2" t="s">
        <v>448</v>
      </c>
      <c r="G202" s="2" t="s">
        <v>449</v>
      </c>
      <c r="H202" s="10">
        <f>6.609+65.329+3516.944+923.168+369.002+127.696</f>
        <v>5008.7480000000005</v>
      </c>
      <c r="I202" s="8"/>
      <c r="J202" s="11">
        <f>(0.01436*6.609+0.02736*65.329+0.01407*3516.944+0.028*923.168+0.01532*369.002+0.02758*127.696)/$H202</f>
        <v>1.7247699241407233E-2</v>
      </c>
      <c r="K202" s="9"/>
      <c r="L202" s="11">
        <f>(0.00313*6.609+0.00744*65.329+0.00308*3516.944+0.0076*923.168+0.00339*369.002+0.00857*127.696)/$H202</f>
        <v>4.132823162594724E-3</v>
      </c>
      <c r="M202" s="8"/>
    </row>
    <row r="203" spans="1:13" ht="17.25" customHeight="1" x14ac:dyDescent="0.2">
      <c r="A203" s="2" t="s">
        <v>450</v>
      </c>
      <c r="B203" s="2" t="s">
        <v>397</v>
      </c>
      <c r="C203" s="2" t="s">
        <v>14</v>
      </c>
      <c r="D203" s="2"/>
      <c r="E203" s="7" t="s">
        <v>16</v>
      </c>
      <c r="F203" s="2" t="s">
        <v>17</v>
      </c>
      <c r="G203" s="2" t="s">
        <v>451</v>
      </c>
      <c r="H203" s="8">
        <v>1.25</v>
      </c>
      <c r="I203" s="8">
        <v>0.7</v>
      </c>
      <c r="J203" s="8">
        <v>9.4</v>
      </c>
      <c r="K203" s="9"/>
      <c r="L203" s="8"/>
      <c r="M203" s="8"/>
    </row>
    <row r="204" spans="1:13" ht="17.25" customHeight="1" x14ac:dyDescent="0.2">
      <c r="A204" s="2" t="s">
        <v>452</v>
      </c>
      <c r="B204" s="2" t="s">
        <v>397</v>
      </c>
      <c r="C204" s="2" t="s">
        <v>132</v>
      </c>
      <c r="D204" s="2"/>
      <c r="E204" s="7" t="s">
        <v>16</v>
      </c>
      <c r="F204" s="2" t="s">
        <v>17</v>
      </c>
      <c r="G204" s="2" t="s">
        <v>453</v>
      </c>
      <c r="H204" s="8">
        <v>6.8000000000000005E-2</v>
      </c>
      <c r="I204" s="8">
        <v>0.6</v>
      </c>
      <c r="J204" s="8">
        <v>7.45</v>
      </c>
      <c r="K204" s="8">
        <v>704.2</v>
      </c>
      <c r="L204" s="8">
        <v>6.1</v>
      </c>
      <c r="M204" s="8">
        <v>0.34</v>
      </c>
    </row>
    <row r="205" spans="1:13" ht="17.25" customHeight="1" x14ac:dyDescent="0.2">
      <c r="A205" s="2" t="s">
        <v>454</v>
      </c>
      <c r="B205" s="2" t="s">
        <v>397</v>
      </c>
      <c r="C205" s="2" t="s">
        <v>24</v>
      </c>
      <c r="D205" s="2"/>
      <c r="E205" s="2" t="s">
        <v>26</v>
      </c>
      <c r="F205" s="2" t="s">
        <v>455</v>
      </c>
      <c r="G205" s="2" t="s">
        <v>264</v>
      </c>
      <c r="H205" s="8">
        <f>5.61+1.62+3.66</f>
        <v>10.89</v>
      </c>
      <c r="I205" s="8">
        <f>(2.93*5.61+2.94*1.62+2.81*3.66)/$H205</f>
        <v>2.8911570247933884</v>
      </c>
      <c r="J205" s="8">
        <f>(6.91*5.61+7.28*1.62+6.95*3.66)/$H205</f>
        <v>6.9784848484848476</v>
      </c>
      <c r="K205" s="10">
        <f>(84.64*5.61+83.68*1.62+78.31*3.66)/$H205</f>
        <v>82.369752066115709</v>
      </c>
      <c r="L205" s="8">
        <f>(0.46*5.61+0.34*1.62+0.32*3.66)/$H205</f>
        <v>0.39509641873278245</v>
      </c>
      <c r="M205" s="8">
        <f>(0.84*5.61+1.06*1.62+1.23*3.66)/$H205</f>
        <v>1.003801652892562</v>
      </c>
    </row>
    <row r="206" spans="1:13" ht="17.25" customHeight="1" x14ac:dyDescent="0.2">
      <c r="A206" s="2" t="s">
        <v>456</v>
      </c>
      <c r="B206" s="2" t="s">
        <v>397</v>
      </c>
      <c r="C206" s="2" t="s">
        <v>457</v>
      </c>
      <c r="D206" s="2"/>
      <c r="E206" s="7" t="s">
        <v>16</v>
      </c>
      <c r="F206" s="2" t="s">
        <v>17</v>
      </c>
      <c r="G206" s="2" t="s">
        <v>408</v>
      </c>
      <c r="H206" s="11">
        <f>0.48851+0.072568+0.226775+0.02721+0.09</f>
        <v>0.90506299999999984</v>
      </c>
      <c r="I206" s="10">
        <f>(5.3*0.48851+5.5*0.072568+9.4*0.226775+3.6*0.02721+3.3*0.09)/$H206</f>
        <v>6.0933526174421004</v>
      </c>
      <c r="J206" s="8">
        <f>(4.46*0.48851+4.14*0.072568+0*0.226775+3*0.02721+6.6*0.09)/$H206</f>
        <v>3.4857420091198077</v>
      </c>
      <c r="K206" s="12">
        <f>(168*0.48851+219.39*0.072568+49.7*0.226775+294.81*0.02721+70*0.09)/$H206</f>
        <v>136.54615327330808</v>
      </c>
      <c r="L206" s="8">
        <f>(0*0.48851+0*0.072568+0.1*0.226775+0.35*0.02721+0*0.09)/$H206</f>
        <v>3.5578738717636248E-2</v>
      </c>
      <c r="M206" s="8"/>
    </row>
    <row r="207" spans="1:13" ht="17.25" customHeight="1" x14ac:dyDescent="0.2">
      <c r="A207" s="2" t="s">
        <v>458</v>
      </c>
      <c r="B207" s="2" t="s">
        <v>397</v>
      </c>
      <c r="C207" s="2" t="s">
        <v>24</v>
      </c>
      <c r="D207" s="2"/>
      <c r="E207" s="2" t="s">
        <v>26</v>
      </c>
      <c r="F207" s="2" t="s">
        <v>459</v>
      </c>
      <c r="G207" s="2" t="s">
        <v>399</v>
      </c>
      <c r="H207" s="11">
        <f>0.107+1.449+2.342+0.116</f>
        <v>4.0140000000000002</v>
      </c>
      <c r="I207" s="8"/>
      <c r="J207" s="8">
        <f>(0.13*0.107+0.05*1.449+0*2.342+0*0.116)/H207</f>
        <v>2.1514698555057301E-2</v>
      </c>
      <c r="K207" s="10">
        <f>(6.4*0.107+3*1.449+0*2.342+0*0.116)/H207</f>
        <v>1.2535625311410066</v>
      </c>
      <c r="L207" s="8">
        <f>(1.78*0.107+1.24*1.449+1.15*2.342+1.62*0.116)/H207</f>
        <v>1.2128649725959142</v>
      </c>
      <c r="M207" s="8"/>
    </row>
    <row r="208" spans="1:13" ht="17.25" customHeight="1" x14ac:dyDescent="0.2">
      <c r="A208" s="2" t="s">
        <v>460</v>
      </c>
      <c r="B208" s="2" t="s">
        <v>397</v>
      </c>
      <c r="C208" s="2" t="s">
        <v>24</v>
      </c>
      <c r="D208" s="2"/>
      <c r="E208" s="2" t="s">
        <v>26</v>
      </c>
      <c r="F208" s="2" t="s">
        <v>461</v>
      </c>
      <c r="G208" s="2" t="s">
        <v>44</v>
      </c>
      <c r="H208" s="11">
        <v>2.8270469999999999</v>
      </c>
      <c r="I208" s="8"/>
      <c r="J208" s="8">
        <v>0.32</v>
      </c>
      <c r="K208" s="8">
        <v>8.9600000000000009</v>
      </c>
      <c r="L208" s="8">
        <v>1.9</v>
      </c>
      <c r="M208" s="8">
        <v>0.47</v>
      </c>
    </row>
    <row r="209" spans="1:13" ht="17.25" customHeight="1" x14ac:dyDescent="0.2">
      <c r="A209" s="2" t="s">
        <v>462</v>
      </c>
      <c r="B209" s="2" t="s">
        <v>397</v>
      </c>
      <c r="C209" s="2" t="s">
        <v>14</v>
      </c>
      <c r="D209" s="2" t="s">
        <v>38</v>
      </c>
      <c r="E209" s="7" t="s">
        <v>16</v>
      </c>
      <c r="F209" s="2" t="s">
        <v>463</v>
      </c>
      <c r="G209" s="2" t="s">
        <v>464</v>
      </c>
      <c r="H209" s="9">
        <v>54</v>
      </c>
      <c r="I209" s="10">
        <v>2</v>
      </c>
      <c r="J209" s="8">
        <v>7.7</v>
      </c>
      <c r="K209" s="8">
        <v>42.8</v>
      </c>
      <c r="L209" s="8"/>
      <c r="M209" s="8"/>
    </row>
    <row r="210" spans="1:13" ht="17.25" customHeight="1" x14ac:dyDescent="0.2">
      <c r="A210" s="2" t="s">
        <v>465</v>
      </c>
      <c r="B210" s="2" t="s">
        <v>397</v>
      </c>
      <c r="C210" s="2" t="s">
        <v>14</v>
      </c>
      <c r="D210" s="2" t="s">
        <v>38</v>
      </c>
      <c r="E210" s="7" t="s">
        <v>16</v>
      </c>
      <c r="F210" s="2" t="s">
        <v>17</v>
      </c>
      <c r="G210" s="2" t="s">
        <v>408</v>
      </c>
      <c r="H210" s="11">
        <v>1.4903649999999999</v>
      </c>
      <c r="I210" s="8">
        <v>1.4</v>
      </c>
      <c r="J210" s="8">
        <v>8.6</v>
      </c>
      <c r="K210" s="8">
        <v>8.5</v>
      </c>
      <c r="L210" s="8"/>
      <c r="M210" s="8"/>
    </row>
    <row r="211" spans="1:13" ht="17.25" customHeight="1" x14ac:dyDescent="0.2">
      <c r="A211" s="2" t="s">
        <v>466</v>
      </c>
      <c r="B211" s="2" t="s">
        <v>397</v>
      </c>
      <c r="C211" s="2" t="s">
        <v>467</v>
      </c>
      <c r="D211" s="2"/>
      <c r="E211" s="7" t="s">
        <v>16</v>
      </c>
      <c r="F211" s="2" t="s">
        <v>17</v>
      </c>
      <c r="G211" s="2" t="s">
        <v>468</v>
      </c>
      <c r="H211" s="11">
        <v>0.32737300000000003</v>
      </c>
      <c r="I211" s="8">
        <v>5.64</v>
      </c>
      <c r="J211" s="8">
        <v>4.5999999999999996</v>
      </c>
      <c r="K211" s="8">
        <v>254.8</v>
      </c>
      <c r="L211" s="8"/>
      <c r="M211" s="8"/>
    </row>
    <row r="212" spans="1:13" ht="17.25" customHeight="1" x14ac:dyDescent="0.2">
      <c r="A212" s="2" t="s">
        <v>469</v>
      </c>
      <c r="B212" s="2" t="s">
        <v>397</v>
      </c>
      <c r="C212" s="2" t="s">
        <v>14</v>
      </c>
      <c r="D212" s="2"/>
      <c r="E212" s="2" t="s">
        <v>26</v>
      </c>
      <c r="F212" s="2" t="s">
        <v>470</v>
      </c>
      <c r="G212" s="2" t="s">
        <v>471</v>
      </c>
      <c r="H212" s="8">
        <v>9.2050000000000001</v>
      </c>
      <c r="I212" s="8">
        <v>0.97</v>
      </c>
      <c r="J212" s="8">
        <v>6.6</v>
      </c>
      <c r="K212" s="9">
        <v>19</v>
      </c>
      <c r="L212" s="8"/>
      <c r="M212" s="8"/>
    </row>
    <row r="213" spans="1:13" ht="17.25" customHeight="1" x14ac:dyDescent="0.2">
      <c r="A213" s="2" t="s">
        <v>472</v>
      </c>
      <c r="B213" s="2" t="s">
        <v>397</v>
      </c>
      <c r="C213" s="2" t="s">
        <v>14</v>
      </c>
      <c r="D213" s="2" t="s">
        <v>38</v>
      </c>
      <c r="E213" s="7" t="s">
        <v>16</v>
      </c>
      <c r="F213" s="2" t="s">
        <v>473</v>
      </c>
      <c r="G213" s="2" t="s">
        <v>474</v>
      </c>
      <c r="H213" s="8">
        <v>1.8</v>
      </c>
      <c r="I213" s="8">
        <v>0.57999999999999996</v>
      </c>
      <c r="J213" s="8">
        <v>2.6</v>
      </c>
      <c r="K213" s="9"/>
      <c r="L213" s="8"/>
      <c r="M213" s="8"/>
    </row>
    <row r="214" spans="1:13" ht="17.25" customHeight="1" x14ac:dyDescent="0.2">
      <c r="A214" s="2" t="s">
        <v>475</v>
      </c>
      <c r="B214" s="2" t="s">
        <v>397</v>
      </c>
      <c r="C214" s="2" t="s">
        <v>162</v>
      </c>
      <c r="D214" s="2"/>
      <c r="E214" s="7" t="s">
        <v>16</v>
      </c>
      <c r="F214" s="2" t="s">
        <v>17</v>
      </c>
      <c r="G214" s="2" t="s">
        <v>408</v>
      </c>
      <c r="H214" s="11">
        <v>4.3354999999999998E-2</v>
      </c>
      <c r="I214" s="9">
        <v>6</v>
      </c>
      <c r="J214" s="9">
        <v>10</v>
      </c>
      <c r="K214" s="9"/>
      <c r="L214" s="8">
        <v>0.11998</v>
      </c>
      <c r="M214" s="8"/>
    </row>
    <row r="215" spans="1:13" ht="17.25" customHeight="1" x14ac:dyDescent="0.2">
      <c r="A215" s="2" t="s">
        <v>476</v>
      </c>
      <c r="B215" s="2" t="s">
        <v>397</v>
      </c>
      <c r="C215" s="2" t="s">
        <v>30</v>
      </c>
      <c r="D215" s="2" t="s">
        <v>53</v>
      </c>
      <c r="E215" s="7" t="s">
        <v>16</v>
      </c>
      <c r="F215" s="2" t="s">
        <v>17</v>
      </c>
      <c r="G215" s="2" t="s">
        <v>408</v>
      </c>
      <c r="H215" s="11">
        <v>0.31748500000000002</v>
      </c>
      <c r="I215" s="8"/>
      <c r="J215" s="8">
        <v>4.2300000000000004</v>
      </c>
      <c r="K215" s="10">
        <v>30.16</v>
      </c>
      <c r="L215" s="8">
        <v>0.38</v>
      </c>
      <c r="M215" s="8"/>
    </row>
    <row r="216" spans="1:13" ht="17.25" customHeight="1" x14ac:dyDescent="0.2">
      <c r="A216" s="2" t="s">
        <v>477</v>
      </c>
      <c r="B216" s="2" t="s">
        <v>397</v>
      </c>
      <c r="C216" s="2" t="s">
        <v>14</v>
      </c>
      <c r="D216" s="2" t="s">
        <v>38</v>
      </c>
      <c r="E216" s="7" t="s">
        <v>16</v>
      </c>
      <c r="F216" s="2" t="s">
        <v>17</v>
      </c>
      <c r="G216" s="2" t="s">
        <v>408</v>
      </c>
      <c r="H216" s="9">
        <v>1</v>
      </c>
      <c r="I216" s="9">
        <v>6</v>
      </c>
      <c r="J216" s="9">
        <v>2</v>
      </c>
      <c r="K216" s="9">
        <v>50</v>
      </c>
      <c r="L216" s="8"/>
      <c r="M216" s="8"/>
    </row>
    <row r="217" spans="1:13" ht="17.25" customHeight="1" x14ac:dyDescent="0.2">
      <c r="A217" s="2" t="s">
        <v>478</v>
      </c>
      <c r="B217" s="2" t="s">
        <v>397</v>
      </c>
      <c r="C217" s="2" t="s">
        <v>24</v>
      </c>
      <c r="D217" s="2"/>
      <c r="E217" s="2" t="s">
        <v>26</v>
      </c>
      <c r="F217" s="2" t="s">
        <v>479</v>
      </c>
      <c r="G217" s="2" t="s">
        <v>480</v>
      </c>
      <c r="H217" s="8">
        <f>3.675+10.058</f>
        <v>13.733000000000001</v>
      </c>
      <c r="I217" s="8">
        <f>(0.4*3.675+0.19*10.058)/$H217</f>
        <v>0.24619675234835794</v>
      </c>
      <c r="J217" s="8">
        <f>(3.61*3.675+3.92*10.058)/$H217</f>
        <v>3.8370428893905189</v>
      </c>
      <c r="K217" s="10">
        <f>(37.2*3.675+34.5*10.058)/$H217</f>
        <v>35.222529673050317</v>
      </c>
      <c r="L217" s="8">
        <f>(1.27*3.675+1.33*10.058)/$H217</f>
        <v>1.3139437850433262</v>
      </c>
      <c r="M217" s="8">
        <f>(0.25*3.675+0.18*10.058)/$H217</f>
        <v>0.19873225078278597</v>
      </c>
    </row>
    <row r="218" spans="1:13" ht="17.25" customHeight="1" x14ac:dyDescent="0.2">
      <c r="A218" s="2" t="s">
        <v>481</v>
      </c>
      <c r="B218" s="2" t="s">
        <v>397</v>
      </c>
      <c r="C218" s="2" t="s">
        <v>14</v>
      </c>
      <c r="D218" s="2" t="s">
        <v>15</v>
      </c>
      <c r="E218" s="2" t="s">
        <v>26</v>
      </c>
      <c r="F218" s="2" t="s">
        <v>482</v>
      </c>
      <c r="G218" s="2" t="s">
        <v>468</v>
      </c>
      <c r="H218" s="11">
        <v>0.87497999999999998</v>
      </c>
      <c r="I218" s="8">
        <v>13.5</v>
      </c>
      <c r="J218" s="8">
        <v>8.5</v>
      </c>
      <c r="K218" s="9">
        <v>123</v>
      </c>
      <c r="L218" s="8"/>
      <c r="M218" s="8"/>
    </row>
    <row r="219" spans="1:13" ht="17.25" customHeight="1" x14ac:dyDescent="0.2">
      <c r="A219" s="2" t="s">
        <v>483</v>
      </c>
      <c r="B219" s="2" t="s">
        <v>397</v>
      </c>
      <c r="C219" s="2" t="s">
        <v>162</v>
      </c>
      <c r="D219" s="2"/>
      <c r="E219" s="7" t="s">
        <v>16</v>
      </c>
      <c r="F219" s="2" t="s">
        <v>17</v>
      </c>
      <c r="G219" s="2" t="s">
        <v>408</v>
      </c>
      <c r="H219" s="11">
        <v>0.160331</v>
      </c>
      <c r="I219" s="8">
        <v>7.11</v>
      </c>
      <c r="J219" s="8">
        <v>8.1199999999999992</v>
      </c>
      <c r="K219" s="8">
        <v>428.5</v>
      </c>
      <c r="L219" s="8"/>
      <c r="M219" s="8">
        <v>0.34</v>
      </c>
    </row>
    <row r="220" spans="1:13" ht="17.25" customHeight="1" x14ac:dyDescent="0.2">
      <c r="A220" s="2" t="s">
        <v>484</v>
      </c>
      <c r="B220" s="2" t="s">
        <v>397</v>
      </c>
      <c r="C220" s="2" t="s">
        <v>30</v>
      </c>
      <c r="D220" s="2" t="s">
        <v>280</v>
      </c>
      <c r="E220" s="7" t="s">
        <v>16</v>
      </c>
      <c r="F220" s="2" t="s">
        <v>485</v>
      </c>
      <c r="G220" s="2" t="s">
        <v>486</v>
      </c>
      <c r="H220" s="11">
        <v>0.19600000000000001</v>
      </c>
      <c r="I220" s="10">
        <f>0.33*7</f>
        <v>2.31</v>
      </c>
      <c r="J220" s="10">
        <f>0.67*7</f>
        <v>4.6900000000000004</v>
      </c>
      <c r="K220" s="9">
        <v>411</v>
      </c>
      <c r="L220" s="8"/>
      <c r="M220" s="8"/>
    </row>
    <row r="221" spans="1:13" ht="17.25" customHeight="1" x14ac:dyDescent="0.2">
      <c r="A221" s="2" t="s">
        <v>487</v>
      </c>
      <c r="B221" s="2" t="s">
        <v>397</v>
      </c>
      <c r="C221" s="2" t="s">
        <v>410</v>
      </c>
      <c r="D221" s="2"/>
      <c r="E221" s="2" t="s">
        <v>26</v>
      </c>
      <c r="F221" s="2" t="s">
        <v>411</v>
      </c>
      <c r="G221" s="2" t="s">
        <v>82</v>
      </c>
      <c r="H221" s="8">
        <v>5.55</v>
      </c>
      <c r="I221" s="8"/>
      <c r="J221" s="8">
        <v>4.7</v>
      </c>
      <c r="K221" s="9"/>
      <c r="L221" s="8"/>
      <c r="M221" s="8"/>
    </row>
    <row r="222" spans="1:13" ht="17.25" customHeight="1" x14ac:dyDescent="0.2">
      <c r="A222" s="2" t="s">
        <v>488</v>
      </c>
      <c r="B222" s="2" t="s">
        <v>397</v>
      </c>
      <c r="C222" s="2" t="s">
        <v>410</v>
      </c>
      <c r="D222" s="2"/>
      <c r="E222" s="2" t="s">
        <v>26</v>
      </c>
      <c r="F222" s="2" t="s">
        <v>411</v>
      </c>
      <c r="G222" s="2" t="s">
        <v>82</v>
      </c>
      <c r="H222" s="8">
        <v>0.36</v>
      </c>
      <c r="I222" s="8">
        <v>0.2</v>
      </c>
      <c r="J222" s="10">
        <v>4</v>
      </c>
      <c r="K222" s="9"/>
      <c r="L222" s="8"/>
      <c r="M222" s="8"/>
    </row>
    <row r="223" spans="1:13" ht="17.25" customHeight="1" x14ac:dyDescent="0.2">
      <c r="A223" s="2" t="s">
        <v>489</v>
      </c>
      <c r="B223" s="2" t="s">
        <v>397</v>
      </c>
      <c r="C223" s="2" t="s">
        <v>24</v>
      </c>
      <c r="D223" s="2"/>
      <c r="E223" s="7" t="s">
        <v>16</v>
      </c>
      <c r="F223" s="2" t="s">
        <v>490</v>
      </c>
      <c r="G223" s="2" t="s">
        <v>416</v>
      </c>
      <c r="H223" s="8">
        <v>1.0149999999999999</v>
      </c>
      <c r="I223" s="8"/>
      <c r="J223" s="8">
        <v>2.96</v>
      </c>
      <c r="K223" s="8">
        <v>21.9</v>
      </c>
      <c r="L223" s="8">
        <v>0.83</v>
      </c>
      <c r="M223" s="8"/>
    </row>
    <row r="224" spans="1:13" ht="17.25" customHeight="1" x14ac:dyDescent="0.2">
      <c r="A224" s="2" t="s">
        <v>491</v>
      </c>
      <c r="B224" s="2" t="s">
        <v>397</v>
      </c>
      <c r="C224" s="2" t="s">
        <v>24</v>
      </c>
      <c r="D224" s="2"/>
      <c r="E224" s="7" t="s">
        <v>16</v>
      </c>
      <c r="F224" s="2" t="s">
        <v>17</v>
      </c>
      <c r="G224" s="2" t="s">
        <v>492</v>
      </c>
      <c r="H224" s="11">
        <v>0.35</v>
      </c>
      <c r="I224" s="8"/>
      <c r="J224" s="8">
        <v>7.84</v>
      </c>
      <c r="K224" s="8">
        <v>22.31</v>
      </c>
      <c r="L224" s="8">
        <v>1.35</v>
      </c>
      <c r="M224" s="8"/>
    </row>
    <row r="225" spans="1:13" ht="17.25" customHeight="1" x14ac:dyDescent="0.2">
      <c r="A225" s="2" t="s">
        <v>493</v>
      </c>
      <c r="B225" s="2" t="s">
        <v>397</v>
      </c>
      <c r="C225" s="2" t="s">
        <v>24</v>
      </c>
      <c r="D225" s="2"/>
      <c r="E225" s="7" t="s">
        <v>16</v>
      </c>
      <c r="F225" s="2" t="s">
        <v>17</v>
      </c>
      <c r="G225" s="2" t="s">
        <v>492</v>
      </c>
      <c r="H225" s="8">
        <v>0.03</v>
      </c>
      <c r="I225" s="8"/>
      <c r="J225" s="8">
        <v>5.51</v>
      </c>
      <c r="K225" s="9"/>
      <c r="L225" s="8">
        <v>1.8</v>
      </c>
      <c r="M225" s="8"/>
    </row>
    <row r="226" spans="1:13" ht="17.25" customHeight="1" x14ac:dyDescent="0.2">
      <c r="A226" s="2" t="s">
        <v>494</v>
      </c>
      <c r="B226" s="2" t="s">
        <v>397</v>
      </c>
      <c r="C226" s="2" t="s">
        <v>14</v>
      </c>
      <c r="D226" s="2" t="s">
        <v>38</v>
      </c>
      <c r="E226" s="7" t="s">
        <v>16</v>
      </c>
      <c r="F226" s="2" t="s">
        <v>495</v>
      </c>
      <c r="G226" s="2" t="s">
        <v>464</v>
      </c>
      <c r="H226" s="8">
        <v>2.44</v>
      </c>
      <c r="I226" s="10">
        <v>3.1</v>
      </c>
      <c r="J226" s="8">
        <v>11.9</v>
      </c>
      <c r="K226" s="9"/>
      <c r="L226" s="8"/>
      <c r="M226" s="8"/>
    </row>
    <row r="227" spans="1:13" ht="17.25" customHeight="1" x14ac:dyDescent="0.2">
      <c r="A227" s="2" t="s">
        <v>496</v>
      </c>
      <c r="B227" s="2" t="s">
        <v>397</v>
      </c>
      <c r="C227" s="2" t="s">
        <v>24</v>
      </c>
      <c r="D227" s="2"/>
      <c r="E227" s="2" t="s">
        <v>26</v>
      </c>
      <c r="F227" s="2" t="s">
        <v>497</v>
      </c>
      <c r="G227" s="2" t="s">
        <v>47</v>
      </c>
      <c r="H227" s="8">
        <f>0.7+0.2+0.7+0.1</f>
        <v>1.7</v>
      </c>
      <c r="I227" s="8"/>
      <c r="J227" s="10">
        <f>(4.1*0.7+3.7*0.2+4.8*0.7+4.8*0.1)/$H227</f>
        <v>4.3823529411764701</v>
      </c>
      <c r="K227" s="9"/>
      <c r="L227" s="8">
        <f>(3.13*0.7+3.16*0.2+3.22*0.7+2.97*0.1)/$H227</f>
        <v>3.1611764705882353</v>
      </c>
      <c r="M227" s="8"/>
    </row>
    <row r="228" spans="1:13" ht="17.25" customHeight="1" x14ac:dyDescent="0.2">
      <c r="A228" s="2" t="s">
        <v>498</v>
      </c>
      <c r="B228" s="2" t="s">
        <v>397</v>
      </c>
      <c r="C228" s="2" t="s">
        <v>14</v>
      </c>
      <c r="D228" s="2" t="s">
        <v>38</v>
      </c>
      <c r="E228" s="7" t="s">
        <v>16</v>
      </c>
      <c r="F228" s="2" t="s">
        <v>17</v>
      </c>
      <c r="G228" s="2" t="s">
        <v>499</v>
      </c>
      <c r="H228" s="8">
        <v>2.76</v>
      </c>
      <c r="I228" s="8">
        <v>3.3</v>
      </c>
      <c r="J228" s="8">
        <v>3.1</v>
      </c>
      <c r="K228" s="9"/>
      <c r="L228" s="8"/>
      <c r="M228" s="8"/>
    </row>
    <row r="229" spans="1:13" ht="17.25" customHeight="1" x14ac:dyDescent="0.2">
      <c r="A229" s="2" t="s">
        <v>500</v>
      </c>
      <c r="B229" s="2" t="s">
        <v>397</v>
      </c>
      <c r="C229" s="2" t="s">
        <v>24</v>
      </c>
      <c r="D229" s="2"/>
      <c r="E229" s="7" t="s">
        <v>16</v>
      </c>
      <c r="F229" s="2" t="s">
        <v>54</v>
      </c>
      <c r="G229" s="2" t="s">
        <v>408</v>
      </c>
      <c r="H229" s="11">
        <f>0.0197+0.05533</f>
        <v>7.5029999999999999E-2</v>
      </c>
      <c r="I229" s="10">
        <f>(5*0.0197+0*0.05533)/$H229</f>
        <v>1.3128082100493135</v>
      </c>
      <c r="J229" s="10">
        <f>(7.5*0.0197+7*0.05533)/$H229</f>
        <v>7.131280821004931</v>
      </c>
      <c r="K229" s="12">
        <f>(207*0.0197+102.84*0.05533)/$H229</f>
        <v>130.18842063174728</v>
      </c>
      <c r="L229" s="10">
        <f>(0*0.0197+0.7*0.05533)/$H229</f>
        <v>0.51620685059309601</v>
      </c>
      <c r="M229" s="8">
        <f>(2.55*0.0197+10.97*0.05533)/$H229</f>
        <v>8.7592309742769565</v>
      </c>
    </row>
    <row r="230" spans="1:13" ht="17.25" customHeight="1" x14ac:dyDescent="0.2">
      <c r="A230" s="2" t="s">
        <v>501</v>
      </c>
      <c r="B230" s="2" t="s">
        <v>397</v>
      </c>
      <c r="C230" s="2" t="s">
        <v>502</v>
      </c>
      <c r="D230" s="2"/>
      <c r="E230" s="2" t="s">
        <v>26</v>
      </c>
      <c r="F230" s="2" t="s">
        <v>503</v>
      </c>
      <c r="G230" s="2" t="s">
        <v>504</v>
      </c>
      <c r="H230" s="8">
        <f>46.07+34.29</f>
        <v>80.36</v>
      </c>
      <c r="I230" s="8"/>
      <c r="J230" s="11">
        <f>(0.132*46.07+0.104*34.29)/$H230</f>
        <v>0.12005226480836236</v>
      </c>
      <c r="K230" s="9"/>
      <c r="L230" s="11">
        <f>(0.051*46.07+0.052*34.29)/$H230</f>
        <v>5.1426704828272773E-2</v>
      </c>
      <c r="M230" s="8"/>
    </row>
    <row r="231" spans="1:13" ht="17.25" customHeight="1" x14ac:dyDescent="0.2">
      <c r="A231" s="2" t="s">
        <v>505</v>
      </c>
      <c r="B231" s="2" t="s">
        <v>397</v>
      </c>
      <c r="C231" s="2" t="s">
        <v>14</v>
      </c>
      <c r="D231" s="2" t="s">
        <v>15</v>
      </c>
      <c r="E231" s="7" t="s">
        <v>16</v>
      </c>
      <c r="F231" s="2" t="s">
        <v>17</v>
      </c>
      <c r="G231" s="2" t="s">
        <v>506</v>
      </c>
      <c r="H231" s="9">
        <v>1</v>
      </c>
      <c r="I231" s="8"/>
      <c r="J231" s="9">
        <v>13</v>
      </c>
      <c r="K231" s="9"/>
      <c r="L231" s="8"/>
      <c r="M231" s="8"/>
    </row>
    <row r="232" spans="1:13" ht="17.25" customHeight="1" x14ac:dyDescent="0.2">
      <c r="A232" s="2" t="s">
        <v>507</v>
      </c>
      <c r="B232" s="2" t="s">
        <v>397</v>
      </c>
      <c r="C232" s="2" t="s">
        <v>24</v>
      </c>
      <c r="D232" s="2"/>
      <c r="E232" s="7" t="s">
        <v>16</v>
      </c>
      <c r="F232" s="2" t="s">
        <v>508</v>
      </c>
      <c r="G232" s="2" t="s">
        <v>408</v>
      </c>
      <c r="H232" s="11">
        <v>6.3497000000000003</v>
      </c>
      <c r="I232" s="8"/>
      <c r="J232" s="10">
        <v>2.5</v>
      </c>
      <c r="K232" s="9">
        <v>20</v>
      </c>
      <c r="L232" s="8">
        <v>0.6</v>
      </c>
      <c r="M232" s="8">
        <v>0.5</v>
      </c>
    </row>
    <row r="233" spans="1:13" ht="17.25" customHeight="1" x14ac:dyDescent="0.2">
      <c r="A233" s="2" t="s">
        <v>509</v>
      </c>
      <c r="B233" s="2" t="s">
        <v>397</v>
      </c>
      <c r="C233" s="2" t="s">
        <v>132</v>
      </c>
      <c r="D233" s="2"/>
      <c r="E233" s="7" t="s">
        <v>16</v>
      </c>
      <c r="F233" s="2" t="s">
        <v>17</v>
      </c>
      <c r="G233" s="2" t="s">
        <v>408</v>
      </c>
      <c r="H233" s="11">
        <v>0.90710000000000002</v>
      </c>
      <c r="I233" s="8">
        <v>2.23</v>
      </c>
      <c r="J233" s="10">
        <v>3.79</v>
      </c>
      <c r="K233" s="8">
        <v>214.9</v>
      </c>
      <c r="L233" s="8"/>
      <c r="M233" s="8"/>
    </row>
    <row r="234" spans="1:13" ht="17.25" customHeight="1" x14ac:dyDescent="0.2">
      <c r="A234" s="2" t="s">
        <v>510</v>
      </c>
      <c r="B234" s="2" t="s">
        <v>397</v>
      </c>
      <c r="C234" s="2" t="s">
        <v>24</v>
      </c>
      <c r="D234" s="2"/>
      <c r="E234" s="2" t="s">
        <v>26</v>
      </c>
      <c r="F234" s="2" t="s">
        <v>39</v>
      </c>
      <c r="G234" s="2" t="s">
        <v>40</v>
      </c>
      <c r="H234" s="10">
        <f>6.7+2.3</f>
        <v>9</v>
      </c>
      <c r="I234" s="8">
        <f>(1.1*6.7+1.3*2.3)/$H234</f>
        <v>1.1511111111111112</v>
      </c>
      <c r="J234" s="8">
        <f>(3.94*6.7+4.3*2.3)/$H234</f>
        <v>4.032</v>
      </c>
      <c r="K234" s="10">
        <f>(52*6.7+55*2.3)/$H234</f>
        <v>52.766666666666673</v>
      </c>
      <c r="L234" s="8">
        <f>(1.15*6.7+1.1*2.3)/$H234</f>
        <v>1.1372222222222221</v>
      </c>
      <c r="M234" s="10">
        <f>(0.84*6.7+0.8*2.3)/$H234</f>
        <v>0.82977777777777773</v>
      </c>
    </row>
    <row r="235" spans="1:13" ht="17.25" customHeight="1" x14ac:dyDescent="0.2">
      <c r="A235" s="2" t="s">
        <v>511</v>
      </c>
      <c r="B235" s="2" t="s">
        <v>397</v>
      </c>
      <c r="C235" s="2" t="s">
        <v>14</v>
      </c>
      <c r="D235" s="2" t="s">
        <v>15</v>
      </c>
      <c r="E235" s="7" t="s">
        <v>16</v>
      </c>
      <c r="F235" s="2" t="s">
        <v>17</v>
      </c>
      <c r="G235" s="2" t="s">
        <v>512</v>
      </c>
      <c r="H235" s="8">
        <v>1.9</v>
      </c>
      <c r="I235" s="8">
        <v>1.2</v>
      </c>
      <c r="J235" s="8">
        <v>3.5</v>
      </c>
      <c r="K235" s="9"/>
      <c r="L235" s="8"/>
      <c r="M235" s="8"/>
    </row>
    <row r="236" spans="1:13" ht="17.25" customHeight="1" x14ac:dyDescent="0.2">
      <c r="A236" s="2" t="s">
        <v>513</v>
      </c>
      <c r="B236" s="2" t="s">
        <v>397</v>
      </c>
      <c r="C236" s="2" t="s">
        <v>24</v>
      </c>
      <c r="D236" s="2"/>
      <c r="E236" s="2" t="s">
        <v>26</v>
      </c>
      <c r="F236" s="2" t="s">
        <v>514</v>
      </c>
      <c r="G236" s="2" t="s">
        <v>515</v>
      </c>
      <c r="H236" s="11">
        <f>0.74+0.0507</f>
        <v>0.79069999999999996</v>
      </c>
      <c r="I236" s="8">
        <f>(0.87*0.74+0.59*0.0507)/$H236</f>
        <v>0.85204628809915273</v>
      </c>
      <c r="J236" s="8">
        <f>(9.48*0.74+6.49*0.0507)/$H236</f>
        <v>9.2882800050588106</v>
      </c>
      <c r="K236" s="10">
        <f>(158.88*0.74+68.3*0.0507)/$H236</f>
        <v>153.07197420007589</v>
      </c>
      <c r="L236" s="8">
        <f>(0.87*0.74+0.49*0.0507)/$H236</f>
        <v>0.84563424813456434</v>
      </c>
      <c r="M236" s="8">
        <f>(4.99*0.74+2.11*0.0507)/$H236</f>
        <v>4.8053332490198564</v>
      </c>
    </row>
    <row r="237" spans="1:13" ht="17.25" customHeight="1" x14ac:dyDescent="0.2">
      <c r="A237" s="2" t="s">
        <v>516</v>
      </c>
      <c r="B237" s="2" t="s">
        <v>397</v>
      </c>
      <c r="C237" s="2" t="s">
        <v>24</v>
      </c>
      <c r="D237" s="2"/>
      <c r="E237" s="2" t="s">
        <v>26</v>
      </c>
      <c r="F237" s="2" t="s">
        <v>34</v>
      </c>
      <c r="G237" s="2" t="s">
        <v>517</v>
      </c>
      <c r="H237" s="11">
        <v>0.58796099999999996</v>
      </c>
      <c r="I237" s="8"/>
      <c r="J237" s="8">
        <v>7.63</v>
      </c>
      <c r="K237" s="9"/>
      <c r="L237" s="8">
        <v>0.35</v>
      </c>
      <c r="M237" s="8"/>
    </row>
    <row r="238" spans="1:13" ht="17.25" customHeight="1" x14ac:dyDescent="0.2">
      <c r="A238" s="2" t="s">
        <v>518</v>
      </c>
      <c r="B238" s="2" t="s">
        <v>397</v>
      </c>
      <c r="C238" s="2" t="s">
        <v>14</v>
      </c>
      <c r="D238" s="2" t="s">
        <v>38</v>
      </c>
      <c r="E238" s="7" t="s">
        <v>16</v>
      </c>
      <c r="F238" s="2" t="s">
        <v>17</v>
      </c>
      <c r="G238" s="2" t="s">
        <v>430</v>
      </c>
      <c r="H238" s="8">
        <f>57.6-53.183</f>
        <v>4.4170000000000016</v>
      </c>
      <c r="I238" s="10">
        <f>(3.4*57.6-3.4*53.183)/$H238</f>
        <v>3.4000000000000039</v>
      </c>
      <c r="J238" s="10">
        <f>(5.7*57.6-5*53.183)/$H238</f>
        <v>14.12836767036449</v>
      </c>
      <c r="K238" s="12">
        <f>(36*57.6-33*53.183)/$H238</f>
        <v>72.121575730133529</v>
      </c>
      <c r="L238" s="8"/>
      <c r="M238" s="8"/>
    </row>
    <row r="239" spans="1:13" ht="17.25" customHeight="1" x14ac:dyDescent="0.2">
      <c r="A239" s="2" t="s">
        <v>519</v>
      </c>
      <c r="B239" s="2" t="s">
        <v>397</v>
      </c>
      <c r="C239" s="2" t="s">
        <v>24</v>
      </c>
      <c r="D239" s="2"/>
      <c r="E239" s="2" t="s">
        <v>26</v>
      </c>
      <c r="F239" s="2" t="s">
        <v>17</v>
      </c>
      <c r="G239" s="2" t="s">
        <v>520</v>
      </c>
      <c r="H239" s="8">
        <v>0.05</v>
      </c>
      <c r="I239" s="10">
        <v>1</v>
      </c>
      <c r="J239" s="8">
        <v>7.1</v>
      </c>
      <c r="K239" s="9">
        <v>130</v>
      </c>
      <c r="L239" s="8">
        <v>4.7</v>
      </c>
      <c r="M239" s="10">
        <v>2</v>
      </c>
    </row>
    <row r="240" spans="1:13" ht="17.25" customHeight="1" x14ac:dyDescent="0.2">
      <c r="A240" s="2" t="s">
        <v>521</v>
      </c>
      <c r="B240" s="2" t="s">
        <v>397</v>
      </c>
      <c r="C240" s="2" t="s">
        <v>14</v>
      </c>
      <c r="D240" s="2" t="s">
        <v>38</v>
      </c>
      <c r="E240" s="7" t="s">
        <v>16</v>
      </c>
      <c r="F240" s="2" t="s">
        <v>522</v>
      </c>
      <c r="G240" s="2" t="s">
        <v>523</v>
      </c>
      <c r="H240" s="11">
        <v>0.58054399999999995</v>
      </c>
      <c r="I240" s="8">
        <v>1.34</v>
      </c>
      <c r="J240" s="8">
        <v>2.2200000000000002</v>
      </c>
      <c r="K240" s="9">
        <v>342</v>
      </c>
      <c r="L240" s="8"/>
      <c r="M240" s="8"/>
    </row>
    <row r="241" spans="1:13" ht="17.25" customHeight="1" x14ac:dyDescent="0.2">
      <c r="A241" s="2" t="s">
        <v>524</v>
      </c>
      <c r="B241" s="2" t="s">
        <v>397</v>
      </c>
      <c r="C241" s="2" t="s">
        <v>14</v>
      </c>
      <c r="D241" s="2" t="s">
        <v>15</v>
      </c>
      <c r="E241" s="7" t="s">
        <v>16</v>
      </c>
      <c r="F241" s="2" t="s">
        <v>525</v>
      </c>
      <c r="G241" s="2" t="s">
        <v>512</v>
      </c>
      <c r="H241" s="9">
        <v>50</v>
      </c>
      <c r="I241" s="8">
        <v>0.2</v>
      </c>
      <c r="J241" s="8">
        <v>4.7</v>
      </c>
      <c r="K241" s="9"/>
      <c r="L241" s="8"/>
      <c r="M241" s="8"/>
    </row>
    <row r="242" spans="1:13" ht="17.25" customHeight="1" x14ac:dyDescent="0.2">
      <c r="A242" s="2" t="s">
        <v>526</v>
      </c>
      <c r="B242" s="2" t="s">
        <v>397</v>
      </c>
      <c r="C242" s="2" t="s">
        <v>24</v>
      </c>
      <c r="D242" s="2"/>
      <c r="E242" s="7" t="s">
        <v>16</v>
      </c>
      <c r="F242" s="2" t="s">
        <v>527</v>
      </c>
      <c r="G242" s="2" t="s">
        <v>528</v>
      </c>
      <c r="H242" s="11">
        <v>2.6308799999999999</v>
      </c>
      <c r="I242" s="8">
        <v>0.53</v>
      </c>
      <c r="J242" s="8">
        <v>3.67</v>
      </c>
      <c r="K242" s="9"/>
      <c r="L242" s="8"/>
      <c r="M242" s="8"/>
    </row>
    <row r="243" spans="1:13" ht="17.25" customHeight="1" x14ac:dyDescent="0.2">
      <c r="A243" s="2" t="s">
        <v>529</v>
      </c>
      <c r="B243" s="2" t="s">
        <v>397</v>
      </c>
      <c r="C243" s="2" t="s">
        <v>14</v>
      </c>
      <c r="D243" s="2" t="s">
        <v>15</v>
      </c>
      <c r="E243" s="2" t="s">
        <v>26</v>
      </c>
      <c r="F243" s="2" t="s">
        <v>17</v>
      </c>
      <c r="G243" s="2" t="s">
        <v>468</v>
      </c>
      <c r="H243" s="11">
        <v>2.494758</v>
      </c>
      <c r="I243" s="8"/>
      <c r="J243" s="9">
        <v>11</v>
      </c>
      <c r="K243" s="9"/>
      <c r="L243" s="8"/>
      <c r="M243" s="8"/>
    </row>
    <row r="244" spans="1:13" ht="17.25" customHeight="1" x14ac:dyDescent="0.2">
      <c r="A244" s="2" t="s">
        <v>530</v>
      </c>
      <c r="B244" s="2" t="s">
        <v>397</v>
      </c>
      <c r="C244" s="2" t="s">
        <v>24</v>
      </c>
      <c r="D244" s="2"/>
      <c r="E244" s="2" t="s">
        <v>26</v>
      </c>
      <c r="F244" s="2" t="s">
        <v>531</v>
      </c>
      <c r="G244" s="2" t="s">
        <v>468</v>
      </c>
      <c r="H244" s="8">
        <v>1.5</v>
      </c>
      <c r="I244" s="8">
        <v>3.1</v>
      </c>
      <c r="J244" s="8">
        <v>6.4</v>
      </c>
      <c r="K244" s="9">
        <v>90</v>
      </c>
      <c r="L244" s="8">
        <v>0.1</v>
      </c>
      <c r="M244" s="9">
        <v>2</v>
      </c>
    </row>
    <row r="245" spans="1:13" ht="17.25" customHeight="1" x14ac:dyDescent="0.2">
      <c r="A245" s="2" t="s">
        <v>532</v>
      </c>
      <c r="B245" s="2" t="s">
        <v>397</v>
      </c>
      <c r="C245" s="2" t="s">
        <v>162</v>
      </c>
      <c r="D245" s="2"/>
      <c r="E245" s="7" t="s">
        <v>16</v>
      </c>
      <c r="F245" s="2" t="s">
        <v>17</v>
      </c>
      <c r="G245" s="2" t="s">
        <v>408</v>
      </c>
      <c r="H245" s="11">
        <v>7.0487999999999995E-2</v>
      </c>
      <c r="I245" s="8">
        <v>2.1</v>
      </c>
      <c r="J245" s="8"/>
      <c r="K245" s="8">
        <v>342.8</v>
      </c>
      <c r="L245" s="8"/>
      <c r="M245" s="8"/>
    </row>
    <row r="246" spans="1:13" ht="17.25" customHeight="1" x14ac:dyDescent="0.2">
      <c r="A246" s="2" t="s">
        <v>533</v>
      </c>
      <c r="B246" s="2" t="s">
        <v>397</v>
      </c>
      <c r="C246" s="2" t="s">
        <v>14</v>
      </c>
      <c r="D246" s="2" t="s">
        <v>38</v>
      </c>
      <c r="E246" s="2" t="s">
        <v>26</v>
      </c>
      <c r="F246" s="2" t="s">
        <v>17</v>
      </c>
      <c r="G246" s="2" t="s">
        <v>468</v>
      </c>
      <c r="H246" s="8">
        <v>17.239999999999998</v>
      </c>
      <c r="I246" s="8">
        <v>4.8499999999999996</v>
      </c>
      <c r="J246" s="8">
        <v>6.39</v>
      </c>
      <c r="K246" s="8">
        <v>71.599999999999994</v>
      </c>
      <c r="L246" s="8"/>
      <c r="M246" s="8">
        <v>0.75</v>
      </c>
    </row>
    <row r="247" spans="1:13" ht="17.25" customHeight="1" x14ac:dyDescent="0.2">
      <c r="A247" s="2" t="s">
        <v>534</v>
      </c>
      <c r="B247" s="2" t="s">
        <v>397</v>
      </c>
      <c r="C247" s="2" t="s">
        <v>162</v>
      </c>
      <c r="D247" s="2"/>
      <c r="E247" s="7" t="s">
        <v>16</v>
      </c>
      <c r="F247" s="2" t="s">
        <v>535</v>
      </c>
      <c r="G247" s="2" t="s">
        <v>468</v>
      </c>
      <c r="H247" s="11">
        <v>0.20094999999999999</v>
      </c>
      <c r="I247" s="8">
        <v>3.18</v>
      </c>
      <c r="J247" s="8">
        <v>4.01</v>
      </c>
      <c r="K247" s="8">
        <v>91.89</v>
      </c>
      <c r="L247" s="8"/>
      <c r="M247" s="8"/>
    </row>
    <row r="248" spans="1:13" ht="17.25" customHeight="1" x14ac:dyDescent="0.2">
      <c r="A248" s="2" t="s">
        <v>536</v>
      </c>
      <c r="B248" s="2" t="s">
        <v>397</v>
      </c>
      <c r="C248" s="2" t="s">
        <v>14</v>
      </c>
      <c r="D248" s="2" t="s">
        <v>38</v>
      </c>
      <c r="E248" s="2" t="s">
        <v>26</v>
      </c>
      <c r="F248" s="2" t="s">
        <v>17</v>
      </c>
      <c r="G248" s="2" t="s">
        <v>468</v>
      </c>
      <c r="H248" s="8">
        <f>1.589+17.06</f>
        <v>18.648999999999997</v>
      </c>
      <c r="I248" s="8">
        <f>(3.56*1.589+2.6*17.06)/$H248</f>
        <v>2.6817974154110145</v>
      </c>
      <c r="J248" s="8">
        <f>(5.34*1.589+4.34*17.06)/$H248</f>
        <v>4.4252056410531395</v>
      </c>
      <c r="K248" s="12">
        <f>(58*1.589+44*17.06)/$H248</f>
        <v>45.192878974743962</v>
      </c>
      <c r="L248" s="8"/>
      <c r="M248" s="8">
        <f>(0.83*1.589+0.74*17.06)/$H248</f>
        <v>0.74766850769478266</v>
      </c>
    </row>
    <row r="249" spans="1:13" ht="17.25" customHeight="1" x14ac:dyDescent="0.2">
      <c r="A249" s="2" t="s">
        <v>537</v>
      </c>
      <c r="B249" s="2" t="s">
        <v>397</v>
      </c>
      <c r="C249" s="2" t="s">
        <v>14</v>
      </c>
      <c r="D249" s="2" t="s">
        <v>38</v>
      </c>
      <c r="E249" s="7" t="s">
        <v>16</v>
      </c>
      <c r="F249" s="2" t="s">
        <v>17</v>
      </c>
      <c r="G249" s="2" t="s">
        <v>20</v>
      </c>
      <c r="H249" s="8">
        <v>6.45</v>
      </c>
      <c r="I249" s="8">
        <v>0.77</v>
      </c>
      <c r="J249" s="8">
        <v>4.0999999999999996</v>
      </c>
      <c r="K249" s="8">
        <v>4.8</v>
      </c>
      <c r="L249" s="8"/>
      <c r="M249" s="8"/>
    </row>
    <row r="250" spans="1:13" ht="17.25" customHeight="1" x14ac:dyDescent="0.2">
      <c r="A250" s="2" t="s">
        <v>538</v>
      </c>
      <c r="B250" s="2" t="s">
        <v>397</v>
      </c>
      <c r="C250" s="2" t="s">
        <v>24</v>
      </c>
      <c r="D250" s="2"/>
      <c r="E250" s="2" t="s">
        <v>26</v>
      </c>
      <c r="F250" s="2" t="s">
        <v>39</v>
      </c>
      <c r="G250" s="2" t="s">
        <v>40</v>
      </c>
      <c r="H250" s="9">
        <f>27+60</f>
        <v>87</v>
      </c>
      <c r="I250" s="10">
        <f>(0.6*27+0.5*60)/$H250</f>
        <v>0.53103448275862075</v>
      </c>
      <c r="J250" s="10">
        <f>(4.5*27+3.5*60)/$H250</f>
        <v>3.8103448275862069</v>
      </c>
      <c r="K250" s="12">
        <f>(130*27+150*60)/$H250</f>
        <v>143.79310344827587</v>
      </c>
      <c r="L250" s="10">
        <f>(0.5*27+0.4*60)/$H250</f>
        <v>0.43103448275862066</v>
      </c>
      <c r="M250" s="10">
        <f>(0.3*27+0.2*60)/$H250</f>
        <v>0.23103448275862071</v>
      </c>
    </row>
    <row r="251" spans="1:13" ht="17.25" customHeight="1" x14ac:dyDescent="0.2">
      <c r="A251" s="2" t="s">
        <v>539</v>
      </c>
      <c r="B251" s="2" t="s">
        <v>397</v>
      </c>
      <c r="C251" s="2" t="s">
        <v>24</v>
      </c>
      <c r="D251" s="2"/>
      <c r="E251" s="2" t="s">
        <v>26</v>
      </c>
      <c r="F251" s="2" t="s">
        <v>455</v>
      </c>
      <c r="G251" s="2" t="s">
        <v>540</v>
      </c>
      <c r="H251" s="11">
        <f>6.2621+6.0782</f>
        <v>12.340299999999999</v>
      </c>
      <c r="I251" s="8">
        <f>(2.58*6.2621+1.83*6.0782)/$H251</f>
        <v>2.2105883973647322</v>
      </c>
      <c r="J251" s="8">
        <f>(8.13*6.2621+6.69*6.0782)/$H251</f>
        <v>7.4207297229402869</v>
      </c>
      <c r="K251" s="10">
        <f>(30.78*6.2621+20.51*6.0782)/$H251</f>
        <v>25.7215237879144</v>
      </c>
      <c r="L251" s="8">
        <f>(0.22*6.2621+0.14*6.0782)/$H251</f>
        <v>0.18059609571890475</v>
      </c>
      <c r="M251" s="8"/>
    </row>
    <row r="252" spans="1:13" ht="17.25" customHeight="1" x14ac:dyDescent="0.2">
      <c r="A252" s="2" t="s">
        <v>541</v>
      </c>
      <c r="B252" s="2" t="s">
        <v>397</v>
      </c>
      <c r="C252" s="2" t="s">
        <v>24</v>
      </c>
      <c r="D252" s="2"/>
      <c r="E252" s="7" t="s">
        <v>16</v>
      </c>
      <c r="F252" s="2" t="s">
        <v>17</v>
      </c>
      <c r="G252" s="2" t="s">
        <v>468</v>
      </c>
      <c r="H252" s="11">
        <v>0.52384900000000001</v>
      </c>
      <c r="I252" s="8">
        <v>0.87</v>
      </c>
      <c r="J252" s="8">
        <v>3.65</v>
      </c>
      <c r="K252" s="8">
        <v>49.7</v>
      </c>
      <c r="L252" s="8">
        <v>1.45</v>
      </c>
      <c r="M252" s="8">
        <v>1.41</v>
      </c>
    </row>
    <row r="253" spans="1:13" ht="17.25" customHeight="1" x14ac:dyDescent="0.2">
      <c r="A253" s="2" t="s">
        <v>542</v>
      </c>
      <c r="B253" s="2" t="s">
        <v>397</v>
      </c>
      <c r="C253" s="2" t="s">
        <v>24</v>
      </c>
      <c r="D253" s="2"/>
      <c r="E253" s="2" t="s">
        <v>26</v>
      </c>
      <c r="F253" s="2" t="s">
        <v>127</v>
      </c>
      <c r="G253" s="2" t="s">
        <v>32</v>
      </c>
      <c r="H253" s="8">
        <f>7.9+6</f>
        <v>13.9</v>
      </c>
      <c r="I253" s="10">
        <f>(0.3*7.9+0.4*6)/$H253</f>
        <v>0.34316546762589928</v>
      </c>
      <c r="J253" s="10">
        <f>(3.5*7.9+4.3*6)/$H253</f>
        <v>3.8453237410071943</v>
      </c>
      <c r="K253" s="12">
        <f>(83*7.9+84*6)/$H253</f>
        <v>83.431654676259001</v>
      </c>
      <c r="L253" s="10">
        <f>(3*7.9+1.8*6)/$H253</f>
        <v>2.4820143884892087</v>
      </c>
      <c r="M253" s="10">
        <f>(1.3*7.9+1.3*6)/$H253</f>
        <v>1.3</v>
      </c>
    </row>
    <row r="254" spans="1:13" ht="17.25" customHeight="1" x14ac:dyDescent="0.2">
      <c r="A254" s="2" t="s">
        <v>543</v>
      </c>
      <c r="B254" s="2" t="s">
        <v>397</v>
      </c>
      <c r="C254" s="2" t="s">
        <v>162</v>
      </c>
      <c r="D254" s="2"/>
      <c r="E254" s="7" t="s">
        <v>16</v>
      </c>
      <c r="F254" s="2" t="s">
        <v>17</v>
      </c>
      <c r="G254" s="2" t="s">
        <v>408</v>
      </c>
      <c r="H254" s="11">
        <v>3.6287E-2</v>
      </c>
      <c r="I254" s="8">
        <v>14.95</v>
      </c>
      <c r="J254" s="8">
        <v>20.78</v>
      </c>
      <c r="K254" s="8">
        <v>427.2</v>
      </c>
      <c r="L254" s="8"/>
      <c r="M254" s="8"/>
    </row>
    <row r="255" spans="1:13" ht="17.25" customHeight="1" x14ac:dyDescent="0.2">
      <c r="A255" s="2" t="s">
        <v>544</v>
      </c>
      <c r="B255" s="2" t="s">
        <v>397</v>
      </c>
      <c r="C255" s="2" t="s">
        <v>24</v>
      </c>
      <c r="D255" s="2"/>
      <c r="E255" s="7" t="s">
        <v>16</v>
      </c>
      <c r="F255" s="2" t="s">
        <v>17</v>
      </c>
      <c r="G255" s="2" t="s">
        <v>408</v>
      </c>
      <c r="H255" s="11">
        <v>0.24990599999999999</v>
      </c>
      <c r="I255" s="8">
        <v>1.24</v>
      </c>
      <c r="J255" s="8">
        <v>2.19</v>
      </c>
      <c r="K255" s="8">
        <v>226.6</v>
      </c>
      <c r="L255" s="8">
        <v>0.28000000000000003</v>
      </c>
      <c r="M255" s="8">
        <v>0.57999999999999996</v>
      </c>
    </row>
    <row r="256" spans="1:13" ht="17.25" customHeight="1" x14ac:dyDescent="0.2">
      <c r="A256" s="2" t="s">
        <v>545</v>
      </c>
      <c r="B256" s="2" t="s">
        <v>397</v>
      </c>
      <c r="C256" s="2" t="s">
        <v>24</v>
      </c>
      <c r="D256" s="2"/>
      <c r="E256" s="2" t="s">
        <v>26</v>
      </c>
      <c r="F256" s="2" t="s">
        <v>546</v>
      </c>
      <c r="G256" s="2" t="s">
        <v>547</v>
      </c>
      <c r="H256" s="11">
        <v>67.617800000000003</v>
      </c>
      <c r="I256" s="8"/>
      <c r="J256" s="8">
        <v>0.72</v>
      </c>
      <c r="K256" s="9"/>
      <c r="L256" s="8">
        <v>0.17</v>
      </c>
      <c r="M256" s="8">
        <v>1.82</v>
      </c>
    </row>
    <row r="257" spans="1:13" ht="17.25" customHeight="1" x14ac:dyDescent="0.2">
      <c r="A257" s="2" t="s">
        <v>548</v>
      </c>
      <c r="B257" s="2" t="s">
        <v>397</v>
      </c>
      <c r="C257" s="2" t="s">
        <v>14</v>
      </c>
      <c r="D257" s="2" t="s">
        <v>38</v>
      </c>
      <c r="E257" s="2" t="s">
        <v>26</v>
      </c>
      <c r="F257" s="2" t="s">
        <v>549</v>
      </c>
      <c r="G257" s="2" t="s">
        <v>550</v>
      </c>
      <c r="H257" s="8">
        <f>16.92+16.05+17.98+40.12+6.88</f>
        <v>97.949999999999989</v>
      </c>
      <c r="I257" s="8">
        <f>(1.2*16.92+1.08*16.05+1.51*17.98+1.48*40.12+1.25*6.88)/$H257</f>
        <v>1.3554405308831037</v>
      </c>
      <c r="J257" s="8">
        <f>(4.15*16.92+4.04*16.05+4.52*17.98+4.63*40.12+4.3*6.88)/$H257</f>
        <v>4.4070362429811132</v>
      </c>
      <c r="K257" s="9"/>
      <c r="L257" s="8"/>
      <c r="M257" s="8"/>
    </row>
    <row r="258" spans="1:13" ht="17.25" customHeight="1" x14ac:dyDescent="0.2">
      <c r="A258" s="2" t="s">
        <v>551</v>
      </c>
      <c r="B258" s="2" t="s">
        <v>397</v>
      </c>
      <c r="C258" s="2" t="s">
        <v>14</v>
      </c>
      <c r="D258" s="2" t="s">
        <v>38</v>
      </c>
      <c r="E258" s="2" t="s">
        <v>26</v>
      </c>
      <c r="F258" s="2" t="s">
        <v>549</v>
      </c>
      <c r="G258" s="2" t="s">
        <v>550</v>
      </c>
      <c r="H258" s="8">
        <v>12.1</v>
      </c>
      <c r="I258" s="8">
        <v>1.1599999999999999</v>
      </c>
      <c r="J258" s="8">
        <v>4.3099999999999996</v>
      </c>
      <c r="K258" s="9"/>
      <c r="L258" s="8"/>
      <c r="M258" s="8"/>
    </row>
    <row r="259" spans="1:13" ht="17.25" customHeight="1" x14ac:dyDescent="0.2">
      <c r="A259" s="2" t="s">
        <v>552</v>
      </c>
      <c r="B259" s="2" t="s">
        <v>397</v>
      </c>
      <c r="C259" s="2" t="s">
        <v>14</v>
      </c>
      <c r="D259" s="2" t="s">
        <v>38</v>
      </c>
      <c r="E259" s="2" t="s">
        <v>26</v>
      </c>
      <c r="F259" s="2" t="s">
        <v>549</v>
      </c>
      <c r="G259" s="2" t="s">
        <v>550</v>
      </c>
      <c r="H259" s="11">
        <f>35.49+41.77+38.1527+14.749</f>
        <v>130.1617</v>
      </c>
      <c r="I259" s="8">
        <f>(1.63*35.49+1.59*41.77+1.88*38.1527+1.59*14.749)/$H259</f>
        <v>1.6859105712356246</v>
      </c>
      <c r="J259" s="8">
        <f>(5.37*35.49+5.22*41.77+5.34*38.1527+5.13*14.749)/$H259</f>
        <v>5.2858750922890536</v>
      </c>
      <c r="K259" s="9"/>
      <c r="L259" s="8"/>
      <c r="M259" s="8"/>
    </row>
    <row r="260" spans="1:13" ht="17.25" customHeight="1" x14ac:dyDescent="0.2">
      <c r="A260" s="2" t="s">
        <v>553</v>
      </c>
      <c r="B260" s="2" t="s">
        <v>397</v>
      </c>
      <c r="C260" s="2" t="s">
        <v>14</v>
      </c>
      <c r="D260" s="2" t="s">
        <v>38</v>
      </c>
      <c r="E260" s="2" t="s">
        <v>26</v>
      </c>
      <c r="F260" s="2" t="s">
        <v>549</v>
      </c>
      <c r="G260" s="2" t="s">
        <v>550</v>
      </c>
      <c r="H260" s="8">
        <f>8.6+19.37+19.68+10.22</f>
        <v>57.87</v>
      </c>
      <c r="I260" s="8">
        <f>(1.04*8.6+1.09*19.37+1.56*19.68+1.5*10.22)/$H260</f>
        <v>1.3148107827890099</v>
      </c>
      <c r="J260" s="8">
        <f>(4.01*8.6+3.83*19.37+5.46*19.68+5.42*10.22)/$H260</f>
        <v>4.6918662519440124</v>
      </c>
      <c r="K260" s="9"/>
      <c r="L260" s="8"/>
      <c r="M260" s="8"/>
    </row>
    <row r="261" spans="1:13" ht="17.25" customHeight="1" x14ac:dyDescent="0.2">
      <c r="A261" s="2" t="s">
        <v>554</v>
      </c>
      <c r="B261" s="2" t="s">
        <v>397</v>
      </c>
      <c r="C261" s="2" t="s">
        <v>14</v>
      </c>
      <c r="D261" s="2" t="s">
        <v>38</v>
      </c>
      <c r="E261" s="2" t="s">
        <v>26</v>
      </c>
      <c r="F261" s="2" t="s">
        <v>549</v>
      </c>
      <c r="G261" s="2" t="s">
        <v>550</v>
      </c>
      <c r="H261" s="8">
        <v>6.18</v>
      </c>
      <c r="I261" s="8">
        <v>1.23</v>
      </c>
      <c r="J261" s="8">
        <v>4.55</v>
      </c>
      <c r="K261" s="9"/>
      <c r="L261" s="8"/>
      <c r="M261" s="8"/>
    </row>
    <row r="262" spans="1:13" ht="17.25" customHeight="1" x14ac:dyDescent="0.2">
      <c r="A262" s="2" t="s">
        <v>555</v>
      </c>
      <c r="B262" s="2" t="s">
        <v>397</v>
      </c>
      <c r="C262" s="2" t="s">
        <v>14</v>
      </c>
      <c r="D262" s="2" t="s">
        <v>38</v>
      </c>
      <c r="E262" s="2" t="s">
        <v>26</v>
      </c>
      <c r="F262" s="2" t="s">
        <v>549</v>
      </c>
      <c r="G262" s="2" t="s">
        <v>550</v>
      </c>
      <c r="H262" s="8">
        <f>1.77+1.38</f>
        <v>3.15</v>
      </c>
      <c r="I262" s="8">
        <f>(1.29*1.77+0.86*1.38)/$H262</f>
        <v>1.1016190476190477</v>
      </c>
      <c r="J262" s="8">
        <f>(4.18*1.77+2.67*1.38)/$H262</f>
        <v>3.5184761904761901</v>
      </c>
      <c r="K262" s="9"/>
      <c r="L262" s="8"/>
      <c r="M262" s="8"/>
    </row>
    <row r="263" spans="1:13" ht="17.25" customHeight="1" x14ac:dyDescent="0.2">
      <c r="A263" s="2" t="s">
        <v>556</v>
      </c>
      <c r="B263" s="2" t="s">
        <v>397</v>
      </c>
      <c r="C263" s="2" t="s">
        <v>14</v>
      </c>
      <c r="D263" s="2" t="s">
        <v>38</v>
      </c>
      <c r="E263" s="2" t="s">
        <v>26</v>
      </c>
      <c r="F263" s="2" t="s">
        <v>549</v>
      </c>
      <c r="G263" s="2" t="s">
        <v>550</v>
      </c>
      <c r="H263" s="8">
        <v>6.85</v>
      </c>
      <c r="I263" s="8">
        <v>0.9</v>
      </c>
      <c r="J263" s="8">
        <v>3.2</v>
      </c>
      <c r="K263" s="9"/>
      <c r="L263" s="8"/>
      <c r="M263" s="8"/>
    </row>
    <row r="264" spans="1:13" ht="17.25" customHeight="1" x14ac:dyDescent="0.2">
      <c r="A264" s="2" t="s">
        <v>557</v>
      </c>
      <c r="B264" s="2" t="s">
        <v>397</v>
      </c>
      <c r="C264" s="2" t="s">
        <v>14</v>
      </c>
      <c r="D264" s="2" t="s">
        <v>38</v>
      </c>
      <c r="E264" s="2" t="s">
        <v>26</v>
      </c>
      <c r="F264" s="2" t="s">
        <v>549</v>
      </c>
      <c r="G264" s="2" t="s">
        <v>550</v>
      </c>
      <c r="H264" s="11">
        <f>45.1145+44.1125+7.32+12.7544</f>
        <v>109.3014</v>
      </c>
      <c r="I264" s="8">
        <f>(2.4*45.1145+1.29*44.1125+2.2*7.32+1.4*12.7544)/$H264</f>
        <v>1.8219353548993882</v>
      </c>
      <c r="J264" s="8">
        <f>(5.7*45.1145+4.1*44.1125+4.08*7.32+4.44*12.7544)/$H264</f>
        <v>4.7987403272053246</v>
      </c>
      <c r="K264" s="9"/>
      <c r="L264" s="8"/>
      <c r="M264" s="8"/>
    </row>
    <row r="265" spans="1:13" ht="17.25" customHeight="1" x14ac:dyDescent="0.2">
      <c r="A265" s="2" t="s">
        <v>558</v>
      </c>
      <c r="B265" s="2" t="s">
        <v>397</v>
      </c>
      <c r="C265" s="2" t="s">
        <v>30</v>
      </c>
      <c r="D265" s="2"/>
      <c r="E265" s="7" t="s">
        <v>16</v>
      </c>
      <c r="F265" s="2" t="s">
        <v>559</v>
      </c>
      <c r="G265" s="2" t="s">
        <v>560</v>
      </c>
      <c r="H265" s="8">
        <v>0.03</v>
      </c>
      <c r="I265" s="8">
        <v>6.7</v>
      </c>
      <c r="J265" s="8">
        <v>17.7</v>
      </c>
      <c r="K265" s="8">
        <v>449.13</v>
      </c>
      <c r="L265" s="8"/>
      <c r="M265" s="8">
        <v>1.71</v>
      </c>
    </row>
    <row r="266" spans="1:13" ht="17.25" customHeight="1" x14ac:dyDescent="0.2">
      <c r="A266" s="2" t="s">
        <v>561</v>
      </c>
      <c r="B266" s="2" t="s">
        <v>397</v>
      </c>
      <c r="C266" s="2" t="s">
        <v>24</v>
      </c>
      <c r="D266" s="2"/>
      <c r="E266" s="2" t="s">
        <v>26</v>
      </c>
      <c r="F266" s="2" t="s">
        <v>562</v>
      </c>
      <c r="G266" s="2" t="s">
        <v>47</v>
      </c>
      <c r="H266" s="8">
        <f>4.893+5.707+0.784</f>
        <v>11.384</v>
      </c>
      <c r="I266" s="8"/>
      <c r="J266" s="8">
        <f>(4.01*4.893+4.24*5.707+4.49*0.784)/$H266</f>
        <v>4.1583599789177788</v>
      </c>
      <c r="K266" s="10">
        <f>(24.71*4.893+24.69*5.707+30.61*0.784)/$H266</f>
        <v>25.10629831342235</v>
      </c>
      <c r="L266" s="8">
        <f>(2.27*4.893+1.34*5.707+1.05*0.784)/$H266</f>
        <v>1.7197549191848207</v>
      </c>
      <c r="M266" s="8">
        <f>(1.84*4.893+1.79*5.707+1.77*0.784)/$H266</f>
        <v>1.8101133169360506</v>
      </c>
    </row>
    <row r="267" spans="1:13" ht="17.25" customHeight="1" x14ac:dyDescent="0.2">
      <c r="A267" s="2" t="s">
        <v>563</v>
      </c>
      <c r="B267" s="2" t="s">
        <v>397</v>
      </c>
      <c r="C267" s="2" t="s">
        <v>24</v>
      </c>
      <c r="D267" s="2"/>
      <c r="E267" s="2" t="s">
        <v>26</v>
      </c>
      <c r="F267" s="2" t="s">
        <v>562</v>
      </c>
      <c r="G267" s="2" t="s">
        <v>564</v>
      </c>
      <c r="H267" s="8">
        <f>0.662+0.388</f>
        <v>1.05</v>
      </c>
      <c r="I267" s="8"/>
      <c r="J267" s="8">
        <f>(8.99*0.662+7.86*0.388)/H267</f>
        <v>8.5724380952380947</v>
      </c>
      <c r="K267" s="10">
        <f>(10.42*0.662+14.97*0.388)/H267</f>
        <v>12.101333333333333</v>
      </c>
      <c r="L267" s="8">
        <f>(1.76*0.662+2.19*0.388)/H267</f>
        <v>1.9188952380952384</v>
      </c>
      <c r="M267" s="8">
        <f>(0.05*0.662+0.06*0.388)/H267</f>
        <v>5.3695238095238094E-2</v>
      </c>
    </row>
    <row r="268" spans="1:13" ht="17.25" customHeight="1" x14ac:dyDescent="0.2">
      <c r="A268" s="2" t="s">
        <v>565</v>
      </c>
      <c r="B268" s="2" t="s">
        <v>397</v>
      </c>
      <c r="C268" s="2" t="s">
        <v>24</v>
      </c>
      <c r="D268" s="2"/>
      <c r="E268" s="2" t="s">
        <v>26</v>
      </c>
      <c r="F268" s="2" t="s">
        <v>562</v>
      </c>
      <c r="G268" s="2" t="s">
        <v>47</v>
      </c>
      <c r="H268" s="8">
        <f>15.196+10.113</f>
        <v>25.308999999999997</v>
      </c>
      <c r="I268" s="8"/>
      <c r="J268" s="8">
        <f>(6.69*15.196+2.49*10.113)/$H268</f>
        <v>5.0117590580425944</v>
      </c>
      <c r="K268" s="10">
        <f>(23.34*15.196+27.6*10.113)/$H268</f>
        <v>25.042215812556801</v>
      </c>
      <c r="L268" s="8">
        <f>(0.63*15.196+1.04*10.113)/$H268</f>
        <v>0.79382828242917547</v>
      </c>
      <c r="M268" s="8">
        <f>(2.01*15.196+4.24*10.113)/$H268</f>
        <v>2.9010660239440518</v>
      </c>
    </row>
    <row r="269" spans="1:13" ht="17.25" customHeight="1" x14ac:dyDescent="0.2">
      <c r="A269" s="2" t="s">
        <v>566</v>
      </c>
      <c r="B269" s="2" t="s">
        <v>397</v>
      </c>
      <c r="C269" s="2" t="s">
        <v>24</v>
      </c>
      <c r="D269" s="2"/>
      <c r="E269" s="2" t="s">
        <v>26</v>
      </c>
      <c r="F269" s="2" t="s">
        <v>567</v>
      </c>
      <c r="G269" s="2" t="s">
        <v>47</v>
      </c>
      <c r="H269" s="8">
        <f>2.121+0.233</f>
        <v>2.3540000000000001</v>
      </c>
      <c r="I269" s="8"/>
      <c r="J269" s="8">
        <f>(0.5*2.121+0.52*0.233)/$H269</f>
        <v>0.50197960917587081</v>
      </c>
      <c r="K269" s="10">
        <f>(5.28*2.121+4.57*0.233)/$H269</f>
        <v>5.2097238742565848</v>
      </c>
      <c r="L269" s="8">
        <f>(3.8*2.121+4.31*0.233)/$H269</f>
        <v>3.8504800339847063</v>
      </c>
      <c r="M269" s="8">
        <f>(0.42*2.121+0.38*0.233)/$H269</f>
        <v>0.41604078164825825</v>
      </c>
    </row>
    <row r="270" spans="1:13" ht="17.25" customHeight="1" x14ac:dyDescent="0.2">
      <c r="A270" s="2" t="s">
        <v>568</v>
      </c>
      <c r="B270" s="2" t="s">
        <v>397</v>
      </c>
      <c r="C270" s="2" t="s">
        <v>24</v>
      </c>
      <c r="D270" s="2"/>
      <c r="E270" s="2" t="s">
        <v>26</v>
      </c>
      <c r="F270" s="2" t="s">
        <v>562</v>
      </c>
      <c r="G270" s="2" t="s">
        <v>564</v>
      </c>
      <c r="H270" s="8">
        <v>6.62</v>
      </c>
      <c r="I270" s="8"/>
      <c r="J270" s="8">
        <v>2.63</v>
      </c>
      <c r="K270" s="8">
        <v>25.61</v>
      </c>
      <c r="L270" s="8">
        <v>1.88</v>
      </c>
      <c r="M270" s="8">
        <v>0.66</v>
      </c>
    </row>
    <row r="271" spans="1:13" ht="17.25" customHeight="1" x14ac:dyDescent="0.2">
      <c r="A271" s="2" t="s">
        <v>569</v>
      </c>
      <c r="B271" s="2" t="s">
        <v>397</v>
      </c>
      <c r="C271" s="2" t="s">
        <v>24</v>
      </c>
      <c r="D271" s="2"/>
      <c r="E271" s="2" t="s">
        <v>26</v>
      </c>
      <c r="F271" s="2" t="s">
        <v>570</v>
      </c>
      <c r="G271" s="2" t="s">
        <v>571</v>
      </c>
      <c r="H271" s="8">
        <f>0.854+0.503</f>
        <v>1.357</v>
      </c>
      <c r="I271" s="8"/>
      <c r="J271" s="8">
        <f>(1.78*0.854+1.33*0.503)/$H271</f>
        <v>1.6131982313927782</v>
      </c>
      <c r="K271" s="8">
        <f>(13.84*0.854+6.96*0.503)/$H271</f>
        <v>11.28978629329403</v>
      </c>
      <c r="L271" s="8">
        <f>(1.22*0.854+0.79*0.503)/$H271</f>
        <v>1.060611643330877</v>
      </c>
      <c r="M271" s="8">
        <f>(3.82*0.854+3.25*0.503)/$H271</f>
        <v>3.6087177597641853</v>
      </c>
    </row>
    <row r="272" spans="1:13" ht="17.25" customHeight="1" x14ac:dyDescent="0.2">
      <c r="A272" s="2" t="s">
        <v>572</v>
      </c>
      <c r="B272" s="2" t="s">
        <v>397</v>
      </c>
      <c r="C272" s="2" t="s">
        <v>24</v>
      </c>
      <c r="D272" s="2"/>
      <c r="E272" s="7" t="s">
        <v>16</v>
      </c>
      <c r="F272" s="2" t="s">
        <v>573</v>
      </c>
      <c r="G272" s="2" t="s">
        <v>574</v>
      </c>
      <c r="H272" s="8">
        <f>(0.97+0.043)*0.9072</f>
        <v>0.91899359999999997</v>
      </c>
      <c r="I272" s="10">
        <f>(0.7*0.97+1.1*0.043)/(0.97+0.043)</f>
        <v>0.71697926949654489</v>
      </c>
      <c r="J272" s="10">
        <f>(9.5*0.97+7.3*0.043)/(0.97+0.043)</f>
        <v>9.4066140177690034</v>
      </c>
      <c r="K272" s="12">
        <f>((3.4*0.97+4*0.043)/(0.97+0.043))*31.1/0.9072</f>
        <v>117.42954466712284</v>
      </c>
      <c r="L272" s="8"/>
      <c r="M272" s="10">
        <f>0.02*31.1/0.9072</f>
        <v>0.68562610229276899</v>
      </c>
    </row>
    <row r="273" spans="1:13" ht="17.25" customHeight="1" x14ac:dyDescent="0.2">
      <c r="A273" s="2" t="s">
        <v>575</v>
      </c>
      <c r="B273" s="2" t="s">
        <v>397</v>
      </c>
      <c r="C273" s="2" t="s">
        <v>576</v>
      </c>
      <c r="D273" s="2"/>
      <c r="E273" s="7" t="s">
        <v>16</v>
      </c>
      <c r="F273" s="2" t="s">
        <v>577</v>
      </c>
      <c r="G273" s="2" t="s">
        <v>402</v>
      </c>
      <c r="H273" s="11">
        <v>0.31748500000000002</v>
      </c>
      <c r="I273" s="8">
        <v>0.1</v>
      </c>
      <c r="J273" s="8">
        <v>2.6</v>
      </c>
      <c r="K273" s="10">
        <f>0.39*31.1/0.9072</f>
        <v>13.369708994708995</v>
      </c>
      <c r="L273" s="8">
        <v>0.1</v>
      </c>
      <c r="M273" s="8">
        <f>0.102*31.1/0.9072</f>
        <v>3.4966931216931219</v>
      </c>
    </row>
    <row r="274" spans="1:13" ht="17.25" customHeight="1" x14ac:dyDescent="0.2">
      <c r="A274" s="2" t="s">
        <v>578</v>
      </c>
      <c r="B274" s="2" t="s">
        <v>397</v>
      </c>
      <c r="C274" s="2" t="s">
        <v>24</v>
      </c>
      <c r="D274" s="2"/>
      <c r="E274" s="2" t="s">
        <v>26</v>
      </c>
      <c r="F274" s="2" t="s">
        <v>127</v>
      </c>
      <c r="G274" s="2" t="s">
        <v>32</v>
      </c>
      <c r="H274" s="8">
        <f>13+1.2</f>
        <v>14.2</v>
      </c>
      <c r="I274" s="10">
        <f>(1.4*13+1.3*1.2)/$H274</f>
        <v>1.3915492957746478</v>
      </c>
      <c r="J274" s="10">
        <f>(13*13+11*1.2)/$H274</f>
        <v>12.830985915492958</v>
      </c>
      <c r="K274" s="12">
        <f>(73*13+73*1.2)/$H274</f>
        <v>73</v>
      </c>
      <c r="L274" s="10">
        <f>(2.4*13+1.5*1.2)/$H274</f>
        <v>2.323943661971831</v>
      </c>
      <c r="M274" s="8">
        <f>(0.18*13+0.21*1.2)/$H274</f>
        <v>0.18253521126760561</v>
      </c>
    </row>
    <row r="275" spans="1:13" ht="17.25" customHeight="1" x14ac:dyDescent="0.2">
      <c r="A275" s="2" t="s">
        <v>579</v>
      </c>
      <c r="B275" s="2" t="s">
        <v>397</v>
      </c>
      <c r="C275" s="2" t="s">
        <v>14</v>
      </c>
      <c r="D275" s="2" t="s">
        <v>38</v>
      </c>
      <c r="E275" s="2" t="s">
        <v>26</v>
      </c>
      <c r="F275" s="2" t="s">
        <v>580</v>
      </c>
      <c r="G275" s="2" t="s">
        <v>581</v>
      </c>
      <c r="H275" s="11">
        <f>1.202+1.1657+4.5381+0.2928</f>
        <v>7.1985999999999999</v>
      </c>
      <c r="I275" s="8">
        <f>(2.4*1.202+2.01*1.1657+2.16*4.5381+0.91*0.2928)/$H275</f>
        <v>2.1249410996582667</v>
      </c>
      <c r="J275" s="8">
        <f>(4.46*1.202+3.86*1.1657+2.99*4.5381+0.73*0.2928)/$H275</f>
        <v>3.2844143305642763</v>
      </c>
      <c r="K275" s="10">
        <f>(69*1.202+64.9*1.1657+67.8*4.5381+49*0.2928)/$H275</f>
        <v>66.766080904620338</v>
      </c>
      <c r="L275" s="8"/>
      <c r="M275" s="8">
        <f>(6.71*1.202+6.92*1.1657+5.19*4.5381+4.54*0.2928)/$H275</f>
        <v>5.6975127108048795</v>
      </c>
    </row>
    <row r="276" spans="1:13" ht="17.25" customHeight="1" x14ac:dyDescent="0.2">
      <c r="A276" s="2" t="s">
        <v>582</v>
      </c>
      <c r="B276" s="2" t="s">
        <v>397</v>
      </c>
      <c r="C276" s="2" t="s">
        <v>14</v>
      </c>
      <c r="D276" s="2" t="s">
        <v>38</v>
      </c>
      <c r="E276" s="2" t="s">
        <v>26</v>
      </c>
      <c r="F276" s="2" t="s">
        <v>562</v>
      </c>
      <c r="G276" s="2" t="s">
        <v>583</v>
      </c>
      <c r="H276" s="8">
        <f>1.46+11</f>
        <v>12.46</v>
      </c>
      <c r="I276" s="8">
        <f>(7.42*1.46+3.96*11)/$H276</f>
        <v>4.3654253611556983</v>
      </c>
      <c r="J276" s="8">
        <f>(5.25*1.46+6.75*11)/$H276</f>
        <v>6.5742375601926168</v>
      </c>
      <c r="K276" s="8">
        <f>(7.42*1.46+3.96*11)/$H276</f>
        <v>4.3654253611556983</v>
      </c>
      <c r="L276" s="8"/>
      <c r="M276" s="8"/>
    </row>
    <row r="277" spans="1:13" ht="17.25" customHeight="1" x14ac:dyDescent="0.2">
      <c r="A277" s="2" t="s">
        <v>584</v>
      </c>
      <c r="B277" s="2" t="s">
        <v>397</v>
      </c>
      <c r="C277" s="2" t="s">
        <v>14</v>
      </c>
      <c r="D277" s="2" t="s">
        <v>38</v>
      </c>
      <c r="E277" s="7" t="s">
        <v>16</v>
      </c>
      <c r="F277" s="2" t="s">
        <v>17</v>
      </c>
      <c r="G277" s="2" t="s">
        <v>20</v>
      </c>
      <c r="H277" s="8">
        <v>7.88</v>
      </c>
      <c r="I277" s="8">
        <v>1.63</v>
      </c>
      <c r="J277" s="8">
        <v>3.49</v>
      </c>
      <c r="K277" s="10">
        <v>3</v>
      </c>
      <c r="L277" s="8"/>
      <c r="M277" s="8"/>
    </row>
    <row r="278" spans="1:13" ht="17.25" customHeight="1" x14ac:dyDescent="0.2">
      <c r="A278" s="2" t="s">
        <v>585</v>
      </c>
      <c r="B278" s="2" t="s">
        <v>397</v>
      </c>
      <c r="C278" s="2" t="s">
        <v>586</v>
      </c>
      <c r="D278" s="2"/>
      <c r="E278" s="7" t="s">
        <v>16</v>
      </c>
      <c r="F278" s="2" t="s">
        <v>404</v>
      </c>
      <c r="G278" s="2" t="s">
        <v>405</v>
      </c>
      <c r="H278" s="11">
        <f>2.807*0.9072</f>
        <v>2.5465103999999998</v>
      </c>
      <c r="I278" s="8"/>
      <c r="J278" s="8">
        <v>0.96</v>
      </c>
      <c r="K278" s="10">
        <f>1.11*31.1/0.9072</f>
        <v>38.052248677248684</v>
      </c>
      <c r="L278" s="8">
        <v>1.1200000000000001</v>
      </c>
      <c r="M278" s="8"/>
    </row>
    <row r="279" spans="1:13" ht="17.25" customHeight="1" x14ac:dyDescent="0.2">
      <c r="A279" s="2" t="s">
        <v>587</v>
      </c>
      <c r="B279" s="2" t="s">
        <v>397</v>
      </c>
      <c r="C279" s="2" t="s">
        <v>14</v>
      </c>
      <c r="D279" s="2" t="s">
        <v>15</v>
      </c>
      <c r="E279" s="2" t="s">
        <v>26</v>
      </c>
      <c r="F279" s="2" t="s">
        <v>588</v>
      </c>
      <c r="G279" s="2" t="s">
        <v>589</v>
      </c>
      <c r="H279" s="11">
        <v>3.4648919999999999</v>
      </c>
      <c r="I279" s="8">
        <v>0.86</v>
      </c>
      <c r="J279" s="8">
        <v>3.62</v>
      </c>
      <c r="K279" s="9"/>
      <c r="L279" s="8"/>
      <c r="M279" s="8"/>
    </row>
    <row r="280" spans="1:13" ht="17.25" customHeight="1" x14ac:dyDescent="0.2">
      <c r="A280" s="2" t="s">
        <v>590</v>
      </c>
      <c r="B280" s="2" t="s">
        <v>397</v>
      </c>
      <c r="C280" s="2" t="s">
        <v>591</v>
      </c>
      <c r="D280" s="2" t="s">
        <v>592</v>
      </c>
      <c r="E280" s="2" t="s">
        <v>26</v>
      </c>
      <c r="F280" s="2" t="s">
        <v>593</v>
      </c>
      <c r="G280" s="2" t="s">
        <v>594</v>
      </c>
      <c r="H280" s="8">
        <v>63.97</v>
      </c>
      <c r="I280" s="8">
        <v>0.21</v>
      </c>
      <c r="J280" s="8">
        <v>0.64</v>
      </c>
      <c r="K280" s="8">
        <v>23.63</v>
      </c>
      <c r="L280" s="8">
        <v>0.12</v>
      </c>
      <c r="M280" s="8"/>
    </row>
    <row r="281" spans="1:13" ht="17.25" customHeight="1" x14ac:dyDescent="0.2">
      <c r="A281" s="2" t="s">
        <v>595</v>
      </c>
      <c r="B281" s="2" t="s">
        <v>397</v>
      </c>
      <c r="C281" s="2" t="s">
        <v>24</v>
      </c>
      <c r="D281" s="2"/>
      <c r="E281" s="7" t="s">
        <v>16</v>
      </c>
      <c r="F281" s="2" t="s">
        <v>596</v>
      </c>
      <c r="G281" s="2" t="s">
        <v>416</v>
      </c>
      <c r="H281" s="11">
        <f>0.879964+0.039</f>
        <v>0.918964</v>
      </c>
      <c r="I281" s="10">
        <f>(0.7*0.879964+1.1*0.039)/$H281</f>
        <v>0.716975637783417</v>
      </c>
      <c r="J281" s="10">
        <f>(9.5*0.879964+7.3*0.039)/$H281</f>
        <v>9.4066339921912068</v>
      </c>
      <c r="K281" s="10">
        <f>(116.5*0.879964+137*0.039)/$H281</f>
        <v>117.37000143640012</v>
      </c>
      <c r="L281" s="8"/>
      <c r="M281" s="8"/>
    </row>
    <row r="282" spans="1:13" ht="17.25" customHeight="1" x14ac:dyDescent="0.2">
      <c r="A282" s="2" t="s">
        <v>597</v>
      </c>
      <c r="B282" s="2" t="s">
        <v>397</v>
      </c>
      <c r="C282" s="2" t="s">
        <v>410</v>
      </c>
      <c r="D282" s="2"/>
      <c r="E282" s="2" t="s">
        <v>26</v>
      </c>
      <c r="F282" s="2" t="s">
        <v>598</v>
      </c>
      <c r="G282" s="2" t="s">
        <v>599</v>
      </c>
      <c r="H282" s="8">
        <f>0.365+0.243</f>
        <v>0.60799999999999998</v>
      </c>
      <c r="I282" s="10">
        <f>(5.3*0.365+4.1*0.243)/$H282</f>
        <v>4.820394736842105</v>
      </c>
      <c r="J282" s="10">
        <f>(5.3*0.365+5.1*0.243)/$H282</f>
        <v>5.2200657894736846</v>
      </c>
      <c r="K282" s="12">
        <f>(658*0.365+428*0.243)/$H282</f>
        <v>566.07565789473676</v>
      </c>
      <c r="L282" s="8"/>
      <c r="M282" s="8"/>
    </row>
    <row r="283" spans="1:13" ht="17.25" customHeight="1" x14ac:dyDescent="0.2">
      <c r="A283" s="2" t="s">
        <v>600</v>
      </c>
      <c r="B283" s="2" t="s">
        <v>397</v>
      </c>
      <c r="C283" s="2" t="s">
        <v>410</v>
      </c>
      <c r="D283" s="2"/>
      <c r="E283" s="2" t="s">
        <v>26</v>
      </c>
      <c r="F283" s="2" t="s">
        <v>598</v>
      </c>
      <c r="G283" s="2" t="s">
        <v>601</v>
      </c>
      <c r="H283" s="8">
        <f>1.378+0.107</f>
        <v>1.4849999999999999</v>
      </c>
      <c r="I283" s="8">
        <f>(1.72*1.378+0.88*0.107)/$H283</f>
        <v>1.6594747474747475</v>
      </c>
      <c r="J283" s="8">
        <f>(5.7*1.378+4.21*0.107)/$H283</f>
        <v>5.5926397306397302</v>
      </c>
      <c r="K283" s="12">
        <f>(516*1.378+313*0.107)/$H283</f>
        <v>501.37306397306395</v>
      </c>
      <c r="L283" s="8"/>
      <c r="M283" s="8">
        <f>(0.42*1.378+0.27*0.107)/$H283</f>
        <v>0.40919191919191916</v>
      </c>
    </row>
    <row r="284" spans="1:13" ht="17.25" customHeight="1" x14ac:dyDescent="0.2">
      <c r="A284" s="2" t="s">
        <v>602</v>
      </c>
      <c r="B284" s="2" t="s">
        <v>397</v>
      </c>
      <c r="C284" s="2" t="s">
        <v>410</v>
      </c>
      <c r="D284" s="2"/>
      <c r="E284" s="2" t="s">
        <v>26</v>
      </c>
      <c r="F284" s="2" t="s">
        <v>598</v>
      </c>
      <c r="G284" s="2" t="s">
        <v>599</v>
      </c>
      <c r="H284" s="8">
        <f>0.124+0.15</f>
        <v>0.27400000000000002</v>
      </c>
      <c r="I284" s="8">
        <f>(2.57*0.124+1.37*0.15)/$H284</f>
        <v>1.9130656934306567</v>
      </c>
      <c r="J284" s="8">
        <f>(1.72*0.124+0.92*0.15)/$H284</f>
        <v>1.282043795620438</v>
      </c>
      <c r="K284" s="12">
        <f>(1227*0.124+571*0.15)/$H284</f>
        <v>867.87591240875906</v>
      </c>
      <c r="L284" s="8"/>
      <c r="M284" s="8">
        <f>(0.17*0.124+0.16*0.15)/$H284</f>
        <v>0.16452554744525547</v>
      </c>
    </row>
    <row r="285" spans="1:13" ht="17.25" customHeight="1" x14ac:dyDescent="0.2">
      <c r="A285" s="2" t="s">
        <v>603</v>
      </c>
      <c r="B285" s="2" t="s">
        <v>397</v>
      </c>
      <c r="C285" s="2" t="s">
        <v>410</v>
      </c>
      <c r="D285" s="2"/>
      <c r="E285" s="2" t="s">
        <v>26</v>
      </c>
      <c r="F285" s="2" t="s">
        <v>598</v>
      </c>
      <c r="G285" s="2" t="s">
        <v>604</v>
      </c>
      <c r="H285" s="8">
        <f>0.585+0.236</f>
        <v>0.82099999999999995</v>
      </c>
      <c r="I285" s="8">
        <f>(1.23*0.585+1.05*0.236)/$H285</f>
        <v>1.178258221680877</v>
      </c>
      <c r="J285" s="8">
        <f>(13.74*0.585+11.52*0.236)/$H285</f>
        <v>13.101851400730817</v>
      </c>
      <c r="K285" s="12">
        <f>(194*0.585+203*0.236)/$H285</f>
        <v>196.58708891595614</v>
      </c>
      <c r="L285" s="8"/>
      <c r="M285" s="8">
        <f>(0.65*0.585+0.43*0.236)/$H285</f>
        <v>0.5867600487210719</v>
      </c>
    </row>
    <row r="286" spans="1:13" ht="17.25" customHeight="1" x14ac:dyDescent="0.2">
      <c r="A286" s="2" t="s">
        <v>605</v>
      </c>
      <c r="B286" s="2" t="s">
        <v>397</v>
      </c>
      <c r="C286" s="2" t="s">
        <v>24</v>
      </c>
      <c r="D286" s="2"/>
      <c r="E286" s="2" t="s">
        <v>26</v>
      </c>
      <c r="F286" s="2" t="s">
        <v>39</v>
      </c>
      <c r="G286" s="2" t="s">
        <v>40</v>
      </c>
      <c r="H286" s="8">
        <f>17.3+0.77+3.4</f>
        <v>21.47</v>
      </c>
      <c r="I286" s="8"/>
      <c r="J286" s="8">
        <f>(4.49*17.3+5.6*0.77+7*3.4)/$H286</f>
        <v>4.9272938984629722</v>
      </c>
      <c r="K286" s="12">
        <f>(52*17.3+36*0.77+60*3.4)/$H286</f>
        <v>52.693060083837921</v>
      </c>
      <c r="L286" s="8">
        <f>(2.08*17.3+1.2*0.77+2*3.4)/$H286</f>
        <v>2.0357708430367953</v>
      </c>
      <c r="M286" s="8"/>
    </row>
    <row r="287" spans="1:13" ht="17.25" customHeight="1" x14ac:dyDescent="0.2">
      <c r="A287" s="2" t="s">
        <v>606</v>
      </c>
      <c r="B287" s="2" t="s">
        <v>397</v>
      </c>
      <c r="C287" s="2" t="s">
        <v>42</v>
      </c>
      <c r="D287" s="2" t="s">
        <v>607</v>
      </c>
      <c r="E287" s="2" t="s">
        <v>26</v>
      </c>
      <c r="F287" s="2" t="s">
        <v>608</v>
      </c>
      <c r="G287" s="2" t="s">
        <v>609</v>
      </c>
      <c r="H287" s="8">
        <f>321.8+317.8</f>
        <v>639.6</v>
      </c>
      <c r="I287" s="11">
        <f>(0.0236*321.8+0.0237*317.8)/$H287</f>
        <v>2.3649687304565351E-2</v>
      </c>
      <c r="J287" s="8"/>
      <c r="K287" s="10">
        <f>(4.8*321.8+4.6*317.8)/$H287</f>
        <v>4.700625390869293</v>
      </c>
      <c r="L287" s="8"/>
      <c r="M287" s="8"/>
    </row>
    <row r="288" spans="1:13" ht="17.25" customHeight="1" x14ac:dyDescent="0.2">
      <c r="A288" s="2" t="s">
        <v>610</v>
      </c>
      <c r="B288" s="2" t="s">
        <v>397</v>
      </c>
      <c r="C288" s="2" t="s">
        <v>42</v>
      </c>
      <c r="D288" s="2" t="s">
        <v>607</v>
      </c>
      <c r="E288" s="7" t="s">
        <v>16</v>
      </c>
      <c r="F288" s="2" t="s">
        <v>17</v>
      </c>
      <c r="G288" s="2" t="s">
        <v>408</v>
      </c>
      <c r="H288" s="11">
        <v>0.78628500000000001</v>
      </c>
      <c r="I288" s="8">
        <v>0.42</v>
      </c>
      <c r="J288" s="8">
        <v>0.5</v>
      </c>
      <c r="K288" s="8">
        <v>311.89999999999998</v>
      </c>
      <c r="L288" s="8"/>
      <c r="M288" s="8"/>
    </row>
    <row r="289" spans="1:13" ht="17.25" customHeight="1" x14ac:dyDescent="0.2">
      <c r="A289" s="2" t="s">
        <v>611</v>
      </c>
      <c r="B289" s="2" t="s">
        <v>397</v>
      </c>
      <c r="C289" s="2" t="s">
        <v>42</v>
      </c>
      <c r="D289" s="2" t="s">
        <v>607</v>
      </c>
      <c r="E289" s="7" t="s">
        <v>16</v>
      </c>
      <c r="F289" s="2" t="s">
        <v>17</v>
      </c>
      <c r="G289" s="2" t="s">
        <v>408</v>
      </c>
      <c r="H289" s="11">
        <v>0.48532399999999998</v>
      </c>
      <c r="I289" s="8">
        <v>0.59</v>
      </c>
      <c r="J289" s="8">
        <v>0.12</v>
      </c>
      <c r="K289" s="9">
        <v>336</v>
      </c>
      <c r="L289" s="8"/>
      <c r="M289" s="8"/>
    </row>
    <row r="290" spans="1:13" ht="17.25" customHeight="1" x14ac:dyDescent="0.2">
      <c r="A290" s="2" t="s">
        <v>612</v>
      </c>
      <c r="B290" s="2" t="s">
        <v>397</v>
      </c>
      <c r="C290" s="2" t="s">
        <v>30</v>
      </c>
      <c r="D290" s="2" t="s">
        <v>49</v>
      </c>
      <c r="E290" s="2" t="s">
        <v>26</v>
      </c>
      <c r="F290" s="2" t="s">
        <v>613</v>
      </c>
      <c r="G290" s="2" t="s">
        <v>614</v>
      </c>
      <c r="H290" s="8">
        <v>9.06</v>
      </c>
      <c r="I290" s="8">
        <v>0.69</v>
      </c>
      <c r="J290" s="8">
        <v>0.84</v>
      </c>
      <c r="K290" s="8">
        <v>84.78</v>
      </c>
      <c r="L290" s="8">
        <v>0.09</v>
      </c>
      <c r="M290" s="8">
        <v>3.54</v>
      </c>
    </row>
    <row r="291" spans="1:13" ht="17.25" customHeight="1" x14ac:dyDescent="0.2">
      <c r="A291" s="2" t="s">
        <v>615</v>
      </c>
      <c r="B291" s="2" t="s">
        <v>397</v>
      </c>
      <c r="C291" s="2" t="s">
        <v>162</v>
      </c>
      <c r="D291" s="2"/>
      <c r="E291" s="7" t="s">
        <v>16</v>
      </c>
      <c r="F291" s="2" t="s">
        <v>17</v>
      </c>
      <c r="G291" s="2" t="s">
        <v>408</v>
      </c>
      <c r="H291" s="11">
        <v>1.7935E-2</v>
      </c>
      <c r="I291" s="8">
        <v>8.1999999999999993</v>
      </c>
      <c r="J291" s="9">
        <v>8</v>
      </c>
      <c r="K291" s="9">
        <v>240</v>
      </c>
      <c r="L291" s="8"/>
      <c r="M291" s="8">
        <v>9.26</v>
      </c>
    </row>
    <row r="292" spans="1:13" ht="17.25" customHeight="1" x14ac:dyDescent="0.2">
      <c r="A292" s="2" t="s">
        <v>616</v>
      </c>
      <c r="B292" s="2" t="s">
        <v>397</v>
      </c>
      <c r="C292" s="2" t="s">
        <v>14</v>
      </c>
      <c r="D292" s="2" t="s">
        <v>38</v>
      </c>
      <c r="E292" s="7" t="s">
        <v>16</v>
      </c>
      <c r="F292" s="2" t="s">
        <v>17</v>
      </c>
      <c r="G292" s="2" t="s">
        <v>20</v>
      </c>
      <c r="H292" s="8">
        <v>0.01</v>
      </c>
      <c r="I292" s="8">
        <v>5.36</v>
      </c>
      <c r="J292" s="8">
        <v>15.6</v>
      </c>
      <c r="K292" s="8">
        <v>66.5</v>
      </c>
      <c r="L292" s="8"/>
      <c r="M292" s="8"/>
    </row>
    <row r="293" spans="1:13" ht="17.25" customHeight="1" x14ac:dyDescent="0.2">
      <c r="A293" s="2" t="s">
        <v>617</v>
      </c>
      <c r="B293" s="2" t="s">
        <v>397</v>
      </c>
      <c r="C293" s="2" t="s">
        <v>24</v>
      </c>
      <c r="D293" s="2"/>
      <c r="E293" s="2" t="s">
        <v>26</v>
      </c>
      <c r="F293" s="2" t="s">
        <v>497</v>
      </c>
      <c r="G293" s="2" t="s">
        <v>618</v>
      </c>
      <c r="H293" s="8">
        <f>11.3+1.5</f>
        <v>12.8</v>
      </c>
      <c r="I293" s="10">
        <f>(1.5*11.3+3.1*1.5)/$H293</f>
        <v>1.6875</v>
      </c>
      <c r="J293" s="10">
        <f>(5.9*11.3+6.4*1.5)/$H293</f>
        <v>5.9585937500000004</v>
      </c>
      <c r="K293" s="9">
        <v>138</v>
      </c>
      <c r="L293" s="8">
        <f>(0.9*11.3+0.14*1.5)/$H293</f>
        <v>0.8109375000000002</v>
      </c>
      <c r="M293" s="8">
        <f>(1.3*11.3+2*1.5)/$H293</f>
        <v>1.38203125</v>
      </c>
    </row>
    <row r="294" spans="1:13" ht="17.25" customHeight="1" x14ac:dyDescent="0.2">
      <c r="A294" s="2" t="s">
        <v>619</v>
      </c>
      <c r="B294" s="2" t="s">
        <v>397</v>
      </c>
      <c r="C294" s="2" t="s">
        <v>24</v>
      </c>
      <c r="D294" s="2"/>
      <c r="E294" s="2" t="s">
        <v>26</v>
      </c>
      <c r="F294" s="2" t="s">
        <v>620</v>
      </c>
      <c r="G294" s="2" t="s">
        <v>550</v>
      </c>
      <c r="H294" s="8">
        <f>5.421+5.859+1.09</f>
        <v>12.370000000000001</v>
      </c>
      <c r="I294" s="8"/>
      <c r="J294" s="8">
        <f>(2.86*5.421+3.67*5.859+2.04*1.09)/$H294</f>
        <v>3.1713977364591752</v>
      </c>
      <c r="K294" s="10">
        <f>(31.4*5.421+41.6*5.859+30.7*1.09)/$H294</f>
        <v>36.16950687146322</v>
      </c>
      <c r="L294" s="8">
        <f>(2.15*5.421+2.24*5.859+1.74*1.09)/$H294</f>
        <v>2.1565004042037188</v>
      </c>
      <c r="M294" s="8">
        <f>(0.34*5.421+0.45*5.859+0.35*1.09)/$H294</f>
        <v>0.39298221503637837</v>
      </c>
    </row>
    <row r="295" spans="1:13" ht="17.25" customHeight="1" x14ac:dyDescent="0.2">
      <c r="A295" s="2" t="s">
        <v>621</v>
      </c>
      <c r="B295" s="2" t="s">
        <v>397</v>
      </c>
      <c r="C295" s="2" t="s">
        <v>24</v>
      </c>
      <c r="D295" s="2"/>
      <c r="E295" s="2" t="s">
        <v>26</v>
      </c>
      <c r="F295" s="2" t="s">
        <v>622</v>
      </c>
      <c r="G295" s="2" t="s">
        <v>40</v>
      </c>
      <c r="H295" s="8">
        <f>5.978+18.149+4.242+10.536</f>
        <v>38.905000000000001</v>
      </c>
      <c r="I295" s="8">
        <f>(0.07*5.978+0.03*18.149+0.16*4.242+0.05*10.536)/$H295</f>
        <v>5.573705179282868E-2</v>
      </c>
      <c r="J295" s="8">
        <f>(0.6*5.978+0.69*18.149+1.61*4.242+0.55*10.536)/$H295</f>
        <v>0.73856907852461129</v>
      </c>
      <c r="K295" s="10">
        <f>(23.27*5.978+18.37*18.149+32.53*4.242+14.72*10.536)/$H295</f>
        <v>19.678379899755818</v>
      </c>
      <c r="L295" s="8">
        <f>(0.31*5.978+0.23*18.149+0.16*4.242+0.27*10.536)/$H295</f>
        <v>0.24549261020434393</v>
      </c>
      <c r="M295" s="8">
        <f>(3.48*5.978+5.5*18.149+2.12*4.242+4.61*10.536)/$H295</f>
        <v>4.5800524354196117</v>
      </c>
    </row>
    <row r="296" spans="1:13" ht="17.25" customHeight="1" x14ac:dyDescent="0.2">
      <c r="A296" s="2" t="s">
        <v>623</v>
      </c>
      <c r="B296" s="2" t="s">
        <v>397</v>
      </c>
      <c r="C296" s="2" t="s">
        <v>14</v>
      </c>
      <c r="D296" s="2" t="s">
        <v>38</v>
      </c>
      <c r="E296" s="7" t="s">
        <v>16</v>
      </c>
      <c r="F296" s="2" t="s">
        <v>17</v>
      </c>
      <c r="G296" s="2" t="s">
        <v>430</v>
      </c>
      <c r="H296" s="8">
        <v>0.03</v>
      </c>
      <c r="I296" s="8"/>
      <c r="J296" s="8">
        <v>12.03</v>
      </c>
      <c r="K296" s="9"/>
      <c r="L296" s="8"/>
      <c r="M296" s="8"/>
    </row>
    <row r="297" spans="1:13" ht="17.25" customHeight="1" x14ac:dyDescent="0.2">
      <c r="A297" s="2" t="s">
        <v>624</v>
      </c>
      <c r="B297" s="2" t="s">
        <v>397</v>
      </c>
      <c r="C297" s="2" t="s">
        <v>24</v>
      </c>
      <c r="D297" s="2"/>
      <c r="E297" s="2" t="s">
        <v>26</v>
      </c>
      <c r="F297" s="2" t="s">
        <v>625</v>
      </c>
      <c r="G297" s="2" t="s">
        <v>40</v>
      </c>
      <c r="H297" s="8">
        <f>2.54+2.31+0.86</f>
        <v>5.71</v>
      </c>
      <c r="I297" s="8">
        <f>(0.24*2.54+0.26*2.31+0.19*0.86)/$H297</f>
        <v>0.24056042031523642</v>
      </c>
      <c r="J297" s="8">
        <f>(10.71*2.54+9.93*2.31+7.19*0.86)/$H297</f>
        <v>9.8642907180385286</v>
      </c>
      <c r="K297" s="10">
        <f>(51.65*2.54+51.74*2.31+43.12*0.86)/$H297</f>
        <v>50.401681260945708</v>
      </c>
      <c r="L297" s="8">
        <f>(0.66*2.54+0.66*2.31+0.38*0.86)/$H297</f>
        <v>0.61782837127845891</v>
      </c>
      <c r="M297" s="8">
        <f>(0.04*2.54+0.1*2.31+0.07*0.86)/$H297</f>
        <v>6.8791593695271464E-2</v>
      </c>
    </row>
    <row r="298" spans="1:13" ht="17.25" customHeight="1" x14ac:dyDescent="0.2">
      <c r="A298" s="2" t="s">
        <v>626</v>
      </c>
      <c r="B298" s="2" t="s">
        <v>397</v>
      </c>
      <c r="C298" s="2" t="s">
        <v>24</v>
      </c>
      <c r="D298" s="2"/>
      <c r="E298" s="2" t="s">
        <v>26</v>
      </c>
      <c r="F298" s="2" t="s">
        <v>627</v>
      </c>
      <c r="G298" s="2" t="s">
        <v>583</v>
      </c>
      <c r="H298" s="11">
        <f>1.1467+0.6696</f>
        <v>1.8163</v>
      </c>
      <c r="I298" s="8">
        <f>(0.58*1.1467+0.44*0.6696)/$H298</f>
        <v>0.52838738093927207</v>
      </c>
      <c r="J298" s="8">
        <f>(3.01*1.1467+2.26*0.6696)/$H298</f>
        <v>2.7335038264603861</v>
      </c>
      <c r="K298" s="10">
        <f>(32.97*1.1467+32.99*0.6696)/$H298</f>
        <v>32.977373231294393</v>
      </c>
      <c r="L298" s="8">
        <f>(1.05*1.1467+0.9*0.6696)/$H298</f>
        <v>0.9947007652920774</v>
      </c>
      <c r="M298" s="8">
        <f>(1.97*1.1467+1.9*0.6696)/$H298</f>
        <v>1.9441936904696362</v>
      </c>
    </row>
    <row r="299" spans="1:13" ht="17.25" customHeight="1" x14ac:dyDescent="0.2">
      <c r="A299" s="2" t="s">
        <v>628</v>
      </c>
      <c r="B299" s="2" t="s">
        <v>397</v>
      </c>
      <c r="C299" s="2" t="s">
        <v>14</v>
      </c>
      <c r="D299" s="2" t="s">
        <v>38</v>
      </c>
      <c r="E299" s="7" t="s">
        <v>16</v>
      </c>
      <c r="F299" s="2" t="s">
        <v>17</v>
      </c>
      <c r="G299" s="2" t="s">
        <v>451</v>
      </c>
      <c r="H299" s="8">
        <v>0.127</v>
      </c>
      <c r="I299" s="8"/>
      <c r="J299" s="10">
        <v>8</v>
      </c>
      <c r="K299" s="9"/>
      <c r="L299" s="8"/>
      <c r="M299" s="8"/>
    </row>
    <row r="300" spans="1:13" ht="17.25" customHeight="1" x14ac:dyDescent="0.2">
      <c r="A300" s="2" t="s">
        <v>629</v>
      </c>
      <c r="B300" s="2" t="s">
        <v>397</v>
      </c>
      <c r="C300" s="2" t="s">
        <v>24</v>
      </c>
      <c r="D300" s="2"/>
      <c r="E300" s="2" t="s">
        <v>26</v>
      </c>
      <c r="F300" s="2" t="s">
        <v>440</v>
      </c>
      <c r="G300" s="2" t="s">
        <v>630</v>
      </c>
      <c r="H300" s="8">
        <f>1.52+2.27</f>
        <v>3.79</v>
      </c>
      <c r="I300" s="8">
        <f>(1.07*1.52+0.74*2.27)/$H300</f>
        <v>0.87234828496042216</v>
      </c>
      <c r="J300" s="8">
        <f>(4.87*1.52+3.18*2.27)/$H300</f>
        <v>3.8577836411609501</v>
      </c>
      <c r="K300" s="10">
        <f>(51.1*1.52+36.53*2.27)/$H300</f>
        <v>42.373377308707127</v>
      </c>
      <c r="L300" s="8">
        <f>(0.52*1.52+0.36*2.27)/$H300</f>
        <v>0.4241688654353562</v>
      </c>
      <c r="M300" s="8">
        <f>(0.92*1.52+0.77*2.27)/$H300</f>
        <v>0.83015831134564644</v>
      </c>
    </row>
    <row r="301" spans="1:13" ht="17.25" customHeight="1" x14ac:dyDescent="0.2">
      <c r="A301" s="2" t="s">
        <v>631</v>
      </c>
      <c r="B301" s="2" t="s">
        <v>397</v>
      </c>
      <c r="C301" s="2" t="s">
        <v>24</v>
      </c>
      <c r="D301" s="2"/>
      <c r="E301" s="7" t="s">
        <v>16</v>
      </c>
      <c r="F301" s="2" t="s">
        <v>17</v>
      </c>
      <c r="G301" s="2" t="s">
        <v>408</v>
      </c>
      <c r="H301" s="11">
        <v>0.31748500000000002</v>
      </c>
      <c r="I301" s="8">
        <v>0.65</v>
      </c>
      <c r="J301" s="8">
        <v>6.6</v>
      </c>
      <c r="K301" s="10">
        <v>140.54</v>
      </c>
      <c r="L301" s="8">
        <v>1.6</v>
      </c>
      <c r="M301" s="8">
        <v>4.1100000000000003</v>
      </c>
    </row>
    <row r="302" spans="1:13" ht="17.25" customHeight="1" x14ac:dyDescent="0.2">
      <c r="A302" s="2" t="s">
        <v>632</v>
      </c>
      <c r="B302" s="2" t="s">
        <v>397</v>
      </c>
      <c r="C302" s="2" t="s">
        <v>24</v>
      </c>
      <c r="D302" s="2"/>
      <c r="E302" s="2" t="s">
        <v>26</v>
      </c>
      <c r="F302" s="2" t="s">
        <v>633</v>
      </c>
      <c r="G302" s="2" t="s">
        <v>515</v>
      </c>
      <c r="H302" s="8">
        <v>0.74</v>
      </c>
      <c r="I302" s="8"/>
      <c r="J302" s="8">
        <v>3.5</v>
      </c>
      <c r="K302" s="8">
        <v>38.619999999999997</v>
      </c>
      <c r="L302" s="8">
        <v>1.88</v>
      </c>
      <c r="M302" s="8">
        <v>0.84</v>
      </c>
    </row>
    <row r="303" spans="1:13" ht="17.25" customHeight="1" x14ac:dyDescent="0.2">
      <c r="A303" s="2" t="s">
        <v>634</v>
      </c>
      <c r="B303" s="2" t="s">
        <v>397</v>
      </c>
      <c r="C303" s="2" t="s">
        <v>24</v>
      </c>
      <c r="D303" s="2"/>
      <c r="E303" s="7" t="s">
        <v>16</v>
      </c>
      <c r="F303" s="2" t="s">
        <v>635</v>
      </c>
      <c r="G303" s="2" t="s">
        <v>67</v>
      </c>
      <c r="H303" s="8">
        <v>11.8</v>
      </c>
      <c r="I303" s="8"/>
      <c r="J303" s="8">
        <v>0.8</v>
      </c>
      <c r="K303" s="8">
        <v>10.3</v>
      </c>
      <c r="L303" s="8">
        <v>0.3</v>
      </c>
      <c r="M303" s="8">
        <v>0.9</v>
      </c>
    </row>
    <row r="304" spans="1:13" ht="17.25" customHeight="1" x14ac:dyDescent="0.2">
      <c r="A304" s="2" t="s">
        <v>636</v>
      </c>
      <c r="B304" s="2" t="s">
        <v>397</v>
      </c>
      <c r="C304" s="2" t="s">
        <v>30</v>
      </c>
      <c r="D304" s="2"/>
      <c r="E304" s="2" t="s">
        <v>26</v>
      </c>
      <c r="F304" s="2" t="s">
        <v>637</v>
      </c>
      <c r="G304" s="2" t="s">
        <v>638</v>
      </c>
      <c r="H304" s="8">
        <v>13.08</v>
      </c>
      <c r="I304" s="8"/>
      <c r="J304" s="8">
        <v>5.0999999999999996</v>
      </c>
      <c r="K304" s="8">
        <v>23.7</v>
      </c>
      <c r="L304" s="8"/>
      <c r="M304" s="8"/>
    </row>
    <row r="305" spans="1:13" ht="17.25" customHeight="1" x14ac:dyDescent="0.2">
      <c r="A305" s="2" t="s">
        <v>639</v>
      </c>
      <c r="B305" s="2" t="s">
        <v>397</v>
      </c>
      <c r="C305" s="2" t="s">
        <v>14</v>
      </c>
      <c r="D305" s="2"/>
      <c r="E305" s="2" t="s">
        <v>26</v>
      </c>
      <c r="F305" s="2" t="s">
        <v>440</v>
      </c>
      <c r="G305" s="2" t="s">
        <v>630</v>
      </c>
      <c r="H305" s="8">
        <f>0.407+0.078</f>
        <v>0.48499999999999999</v>
      </c>
      <c r="I305" s="8">
        <f>(1.58*0.407+1.24*0.078)/$H305</f>
        <v>1.5253195876288661</v>
      </c>
      <c r="J305" s="8">
        <f>(7.82*0.407+5.77*0.078)/$H305</f>
        <v>7.4903092783505159</v>
      </c>
      <c r="K305" s="12">
        <f>(49*0.407+34*0.078)/$H305</f>
        <v>46.587628865979383</v>
      </c>
      <c r="L305" s="8">
        <f>(0.97*0.407+0.7*0.078)/$H305</f>
        <v>0.92657731958762879</v>
      </c>
      <c r="M305" s="8">
        <f>(0.57*0.407+0.48*0.078)/$H305</f>
        <v>0.55552577319587615</v>
      </c>
    </row>
    <row r="306" spans="1:13" ht="17.25" customHeight="1" x14ac:dyDescent="0.2">
      <c r="A306" s="2" t="s">
        <v>640</v>
      </c>
      <c r="B306" s="2" t="s">
        <v>397</v>
      </c>
      <c r="C306" s="2" t="s">
        <v>24</v>
      </c>
      <c r="D306" s="2"/>
      <c r="E306" s="2" t="s">
        <v>26</v>
      </c>
      <c r="F306" s="2" t="s">
        <v>641</v>
      </c>
      <c r="G306" s="2" t="s">
        <v>121</v>
      </c>
      <c r="H306" s="8">
        <f>23.44+4.31+0.89</f>
        <v>28.64</v>
      </c>
      <c r="I306" s="8">
        <f>(0.6*23.44+0.54*4.31+0.95*0.89)/$H306</f>
        <v>0.60184706703910618</v>
      </c>
      <c r="J306" s="8">
        <f>(1.41*23.44+1.29*4.31+2.37*0.89)/$H306</f>
        <v>1.4217737430167599</v>
      </c>
      <c r="K306" s="8">
        <f>(5.31*23.44+4.47*4.31+11.29*0.89)/$H306</f>
        <v>5.3694203910614524</v>
      </c>
      <c r="L306" s="8">
        <f>(0.35*23.44+0.27*4.31+0.96*0.89)/$H306</f>
        <v>0.35691689944134081</v>
      </c>
      <c r="M306" s="8">
        <f>(0.07*23.44+0.08*4.31+0.15*0.89)/$H306</f>
        <v>7.399092178770951E-2</v>
      </c>
    </row>
    <row r="307" spans="1:13" ht="17.25" customHeight="1" x14ac:dyDescent="0.2">
      <c r="A307" s="2" t="s">
        <v>642</v>
      </c>
      <c r="B307" s="2" t="s">
        <v>397</v>
      </c>
      <c r="C307" s="2" t="s">
        <v>132</v>
      </c>
      <c r="D307" s="2"/>
      <c r="E307" s="7" t="s">
        <v>16</v>
      </c>
      <c r="F307" s="2" t="s">
        <v>643</v>
      </c>
      <c r="G307" s="2" t="s">
        <v>408</v>
      </c>
      <c r="H307" s="11">
        <f>0.233124+0.07411</f>
        <v>0.30723400000000001</v>
      </c>
      <c r="I307" s="8"/>
      <c r="J307" s="10">
        <f>(1.5*0.233124+6.6*0.07411)/$H307</f>
        <v>2.73020564130272</v>
      </c>
      <c r="K307" s="10">
        <f>(63.1*0.233124+27.7*0.07411)/$H307</f>
        <v>54.560925548604637</v>
      </c>
      <c r="L307" s="8"/>
      <c r="M307" s="10">
        <f>(2.4*0.233124+3.2*0.07411)/$H307</f>
        <v>2.5929734339298385</v>
      </c>
    </row>
    <row r="308" spans="1:13" ht="17.25" customHeight="1" x14ac:dyDescent="0.2">
      <c r="A308" s="2" t="s">
        <v>644</v>
      </c>
      <c r="B308" s="2" t="s">
        <v>397</v>
      </c>
      <c r="C308" s="2" t="s">
        <v>24</v>
      </c>
      <c r="D308" s="2"/>
      <c r="E308" s="2" t="s">
        <v>26</v>
      </c>
      <c r="F308" s="2" t="s">
        <v>645</v>
      </c>
      <c r="G308" s="2" t="s">
        <v>630</v>
      </c>
      <c r="H308" s="8">
        <f>1.309+0.355</f>
        <v>1.6639999999999999</v>
      </c>
      <c r="I308" s="8"/>
      <c r="J308" s="8">
        <f>(4.12*1.309+0.39*0.355)/$H308</f>
        <v>3.3242367788461542</v>
      </c>
      <c r="K308" s="10">
        <f>(42.8*1.309+24.2*0.355)/$H308</f>
        <v>38.831850961538457</v>
      </c>
      <c r="L308" s="8">
        <f>(1.99*1.309+3.41*0.355)/$H308</f>
        <v>2.2929447115384614</v>
      </c>
      <c r="M308" s="8">
        <f>(1.27*1.309+0.26*0.355)/$H308</f>
        <v>1.0545252403846155</v>
      </c>
    </row>
    <row r="309" spans="1:13" ht="17.25" customHeight="1" x14ac:dyDescent="0.2">
      <c r="A309" s="2" t="s">
        <v>646</v>
      </c>
      <c r="B309" s="2" t="s">
        <v>397</v>
      </c>
      <c r="C309" s="2" t="s">
        <v>24</v>
      </c>
      <c r="D309" s="2"/>
      <c r="E309" s="2" t="s">
        <v>26</v>
      </c>
      <c r="F309" s="2" t="s">
        <v>470</v>
      </c>
      <c r="G309" s="2" t="s">
        <v>647</v>
      </c>
      <c r="H309" s="8">
        <f>4.57+9.78</f>
        <v>14.35</v>
      </c>
      <c r="I309" s="8">
        <f>(1.76*4.57+1.21*9.78)/$H309</f>
        <v>1.3851567944250871</v>
      </c>
      <c r="J309" s="8">
        <f>(3.54*4.57+2.54*9.78)/$H309</f>
        <v>2.858466898954704</v>
      </c>
      <c r="K309" s="10">
        <f>(45.36*4.57+31.04*9.78)/$H309</f>
        <v>35.600445993031357</v>
      </c>
      <c r="L309" s="8">
        <f>(1.41*4.57+0.96*9.78)/$H309</f>
        <v>1.1033101045296168</v>
      </c>
      <c r="M309" s="8">
        <f>(0.74*4.57+0.47*9.78)/$H309</f>
        <v>0.55598606271777007</v>
      </c>
    </row>
    <row r="310" spans="1:13" ht="17.25" customHeight="1" x14ac:dyDescent="0.2">
      <c r="A310" s="2" t="s">
        <v>648</v>
      </c>
      <c r="B310" s="2" t="s">
        <v>397</v>
      </c>
      <c r="C310" s="2" t="s">
        <v>24</v>
      </c>
      <c r="D310" s="2"/>
      <c r="E310" s="7" t="s">
        <v>16</v>
      </c>
      <c r="F310" s="2" t="s">
        <v>593</v>
      </c>
      <c r="G310" s="2" t="s">
        <v>649</v>
      </c>
      <c r="H310" s="11">
        <v>0.53342999999999996</v>
      </c>
      <c r="I310" s="8">
        <v>6.1</v>
      </c>
      <c r="J310" s="8">
        <v>4.5999999999999996</v>
      </c>
      <c r="K310" s="8">
        <v>102.86</v>
      </c>
      <c r="L310" s="8"/>
      <c r="M310" s="8"/>
    </row>
    <row r="311" spans="1:13" ht="17.25" customHeight="1" x14ac:dyDescent="0.2">
      <c r="A311" s="2" t="s">
        <v>650</v>
      </c>
      <c r="B311" s="2" t="s">
        <v>397</v>
      </c>
      <c r="C311" s="2" t="s">
        <v>24</v>
      </c>
      <c r="D311" s="2"/>
      <c r="E311" s="2" t="s">
        <v>26</v>
      </c>
      <c r="F311" s="2" t="s">
        <v>651</v>
      </c>
      <c r="G311" s="2" t="s">
        <v>652</v>
      </c>
      <c r="H311" s="8">
        <f>13.9+11.311</f>
        <v>25.210999999999999</v>
      </c>
      <c r="I311" s="8"/>
      <c r="J311" s="8">
        <f>(2.67*13.9+2.97*11.311)/$H311</f>
        <v>2.8045960096783151</v>
      </c>
      <c r="K311" s="12">
        <f>(17*13.9+17*11.311)/$H311</f>
        <v>17</v>
      </c>
      <c r="L311" s="8">
        <f>(1.28*13.9+1.32*11.311)/$H311</f>
        <v>1.2979461346237755</v>
      </c>
      <c r="M311" s="8">
        <f>(0.49*13.9+0.43*11.311)/$H311</f>
        <v>0.46308079806433705</v>
      </c>
    </row>
    <row r="312" spans="1:13" ht="17.25" customHeight="1" x14ac:dyDescent="0.2">
      <c r="A312" s="2" t="s">
        <v>653</v>
      </c>
      <c r="B312" s="2" t="s">
        <v>397</v>
      </c>
      <c r="C312" s="7" t="s">
        <v>132</v>
      </c>
      <c r="D312" s="2"/>
      <c r="E312" s="7" t="s">
        <v>16</v>
      </c>
      <c r="F312" s="2" t="s">
        <v>482</v>
      </c>
      <c r="G312" s="2" t="s">
        <v>468</v>
      </c>
      <c r="H312" s="8">
        <f>1.1+0.4</f>
        <v>1.5</v>
      </c>
      <c r="I312" s="10">
        <f>(4.1*1.1+9.3*0.4)/$H312</f>
        <v>5.4866666666666672</v>
      </c>
      <c r="J312" s="10">
        <f>(8.3*1.1+1.7*0.4)/$H312</f>
        <v>6.54</v>
      </c>
      <c r="K312" s="12">
        <f>(62*1.1+214*0.4)/$H312</f>
        <v>102.53333333333335</v>
      </c>
      <c r="L312" s="8"/>
      <c r="M312" s="8"/>
    </row>
    <row r="313" spans="1:13" ht="17.25" customHeight="1" x14ac:dyDescent="0.2">
      <c r="A313" s="2" t="s">
        <v>654</v>
      </c>
      <c r="B313" s="2" t="s">
        <v>397</v>
      </c>
      <c r="C313" s="2" t="s">
        <v>14</v>
      </c>
      <c r="D313" s="2" t="s">
        <v>38</v>
      </c>
      <c r="E313" s="7" t="s">
        <v>16</v>
      </c>
      <c r="F313" s="2" t="s">
        <v>593</v>
      </c>
      <c r="G313" s="2" t="s">
        <v>655</v>
      </c>
      <c r="H313" s="8">
        <v>5.62</v>
      </c>
      <c r="I313" s="8">
        <v>1.82</v>
      </c>
      <c r="J313" s="8">
        <v>6.31</v>
      </c>
      <c r="K313" s="9"/>
      <c r="L313" s="8"/>
      <c r="M313" s="8"/>
    </row>
    <row r="314" spans="1:13" ht="17.25" customHeight="1" x14ac:dyDescent="0.2">
      <c r="A314" s="2" t="s">
        <v>656</v>
      </c>
      <c r="B314" s="2" t="s">
        <v>397</v>
      </c>
      <c r="C314" s="2" t="s">
        <v>14</v>
      </c>
      <c r="D314" s="2" t="s">
        <v>38</v>
      </c>
      <c r="E314" s="7" t="s">
        <v>16</v>
      </c>
      <c r="F314" s="2" t="s">
        <v>17</v>
      </c>
      <c r="G314" s="2" t="s">
        <v>20</v>
      </c>
      <c r="H314" s="8">
        <v>2.1</v>
      </c>
      <c r="I314" s="8">
        <v>1.76</v>
      </c>
      <c r="J314" s="8">
        <v>4.12</v>
      </c>
      <c r="K314" s="8">
        <v>24.8</v>
      </c>
      <c r="L314" s="8"/>
      <c r="M314" s="8"/>
    </row>
    <row r="315" spans="1:13" ht="17.25" customHeight="1" x14ac:dyDescent="0.2">
      <c r="A315" s="2" t="s">
        <v>657</v>
      </c>
      <c r="B315" s="2" t="s">
        <v>397</v>
      </c>
      <c r="C315" s="2" t="s">
        <v>24</v>
      </c>
      <c r="D315" s="2" t="s">
        <v>658</v>
      </c>
      <c r="E315" s="2" t="s">
        <v>26</v>
      </c>
      <c r="F315" s="2" t="s">
        <v>659</v>
      </c>
      <c r="G315" s="2" t="s">
        <v>660</v>
      </c>
      <c r="H315" s="8">
        <f>45.298+23.324+15.011</f>
        <v>83.632999999999996</v>
      </c>
      <c r="I315" s="8"/>
      <c r="J315" s="8">
        <f>(0.02*45.298+0.02*23.324+0.01*15.011)/H315</f>
        <v>1.820513433692442E-2</v>
      </c>
      <c r="K315" s="8">
        <f>(0.99*45.298+0.96*23.324+0.81*15.011)/H315</f>
        <v>0.94932586419236431</v>
      </c>
      <c r="L315" s="8">
        <f>(0.98*45.298+0.91*23.324+0.79*15.011)/H315</f>
        <v>0.92637559336625508</v>
      </c>
      <c r="M315" s="8">
        <f>(0.09*45.298+0.09*23.324+0.08*15.011)/H315</f>
        <v>8.820513433692441E-2</v>
      </c>
    </row>
    <row r="316" spans="1:13" ht="17.25" customHeight="1" x14ac:dyDescent="0.2">
      <c r="A316" s="2" t="s">
        <v>661</v>
      </c>
      <c r="B316" s="2" t="s">
        <v>397</v>
      </c>
      <c r="C316" s="2" t="s">
        <v>30</v>
      </c>
      <c r="D316" s="2"/>
      <c r="E316" s="7" t="s">
        <v>16</v>
      </c>
      <c r="F316" s="2" t="s">
        <v>17</v>
      </c>
      <c r="G316" s="2" t="s">
        <v>408</v>
      </c>
      <c r="H316" s="11">
        <v>4.0800000000000003E-2</v>
      </c>
      <c r="I316" s="8">
        <v>6.23</v>
      </c>
      <c r="J316" s="8">
        <v>9.49</v>
      </c>
      <c r="K316" s="9">
        <v>355</v>
      </c>
      <c r="L316" s="8"/>
      <c r="M316" s="8">
        <v>1.1299999999999999</v>
      </c>
    </row>
    <row r="317" spans="1:13" ht="17.25" customHeight="1" x14ac:dyDescent="0.2">
      <c r="A317" s="2" t="s">
        <v>662</v>
      </c>
      <c r="B317" s="2" t="s">
        <v>397</v>
      </c>
      <c r="C317" s="2" t="s">
        <v>14</v>
      </c>
      <c r="D317" s="2" t="s">
        <v>15</v>
      </c>
      <c r="E317" s="7" t="s">
        <v>16</v>
      </c>
      <c r="F317" s="2" t="s">
        <v>17</v>
      </c>
      <c r="G317" s="2" t="s">
        <v>20</v>
      </c>
      <c r="H317" s="8">
        <v>0.76</v>
      </c>
      <c r="I317" s="9">
        <v>10</v>
      </c>
      <c r="J317" s="9">
        <v>7</v>
      </c>
      <c r="K317" s="8">
        <v>1.2</v>
      </c>
      <c r="L317" s="8"/>
      <c r="M317" s="8"/>
    </row>
    <row r="318" spans="1:13" ht="17.25" customHeight="1" x14ac:dyDescent="0.2">
      <c r="A318" s="2" t="s">
        <v>663</v>
      </c>
      <c r="B318" s="2" t="s">
        <v>397</v>
      </c>
      <c r="C318" s="2" t="s">
        <v>42</v>
      </c>
      <c r="D318" s="2" t="s">
        <v>664</v>
      </c>
      <c r="E318" s="2" t="s">
        <v>26</v>
      </c>
      <c r="F318" s="2" t="s">
        <v>665</v>
      </c>
      <c r="G318" s="2" t="s">
        <v>44</v>
      </c>
      <c r="H318" s="8">
        <f>10.882+7.603</f>
        <v>18.484999999999999</v>
      </c>
      <c r="I318" s="8"/>
      <c r="J318" s="8">
        <f>(0.67*10.882+0.99*7.603)/$H318</f>
        <v>0.80161806870435492</v>
      </c>
      <c r="K318" s="9"/>
      <c r="L318" s="8">
        <f>(0.11*10.882+0.09*7.603)/$H318</f>
        <v>0.10177387070597782</v>
      </c>
      <c r="M318" s="8"/>
    </row>
    <row r="319" spans="1:13" ht="17.25" customHeight="1" x14ac:dyDescent="0.2">
      <c r="A319" s="2" t="s">
        <v>666</v>
      </c>
      <c r="B319" s="2" t="s">
        <v>397</v>
      </c>
      <c r="C319" s="2" t="s">
        <v>24</v>
      </c>
      <c r="D319" s="2"/>
      <c r="E319" s="2" t="s">
        <v>26</v>
      </c>
      <c r="F319" s="2" t="s">
        <v>667</v>
      </c>
      <c r="G319" s="2" t="s">
        <v>581</v>
      </c>
      <c r="H319" s="8">
        <f>0.621+17.063+3.021</f>
        <v>20.704999999999998</v>
      </c>
      <c r="I319" s="8">
        <f>(1.19*0.621+0.93*17.063+0.75*3.021)/$H319</f>
        <v>0.91153489495290996</v>
      </c>
      <c r="J319" s="8">
        <f>(3.53*0.621+2.52*17.063+1.83*3.021)/$H319</f>
        <v>2.4496170007244626</v>
      </c>
      <c r="K319" s="10">
        <f>(44.1*0.621+38.8*17.063+35*3.021)/$H319</f>
        <v>38.404515817435403</v>
      </c>
      <c r="L319" s="8">
        <f>(0.27*0.621+0.43*17.063+0.62*3.021)/$H319</f>
        <v>0.45292344844240523</v>
      </c>
      <c r="M319" s="8">
        <f>(0.5*0.621+0.51*17.063+0.75*3.021)/$H319</f>
        <v>0.54471770103839645</v>
      </c>
    </row>
    <row r="320" spans="1:13" ht="17.25" customHeight="1" x14ac:dyDescent="0.2">
      <c r="A320" s="2" t="s">
        <v>668</v>
      </c>
      <c r="B320" s="2" t="s">
        <v>397</v>
      </c>
      <c r="C320" s="2" t="s">
        <v>24</v>
      </c>
      <c r="D320" s="2"/>
      <c r="E320" s="2" t="s">
        <v>26</v>
      </c>
      <c r="F320" s="2" t="s">
        <v>625</v>
      </c>
      <c r="G320" s="2" t="s">
        <v>40</v>
      </c>
      <c r="H320" s="8">
        <f>5.53+1.28+2.34</f>
        <v>9.15</v>
      </c>
      <c r="I320" s="8">
        <f>(0.63*5.53+0.86*1.28+0.66*2.34)/$H320</f>
        <v>0.66984699453551899</v>
      </c>
      <c r="J320" s="8">
        <f>(6.02*5.53+7.75*1.28+5.86*2.34)/$H320</f>
        <v>6.2210928961748637</v>
      </c>
      <c r="K320" s="10">
        <f>(61.79*5.53+87.04*1.28+101.09*2.34)/$H320</f>
        <v>75.372732240437159</v>
      </c>
      <c r="L320" s="8">
        <f>(0.9*5.53+1.27*1.28+0.55*2.34)/$H320</f>
        <v>0.86225136612021858</v>
      </c>
      <c r="M320" s="8">
        <f>(1.63*5.53+2.21*1.28+2.04*2.34)/$H320</f>
        <v>1.8159890710382516</v>
      </c>
    </row>
    <row r="321" spans="1:13" ht="17.25" customHeight="1" x14ac:dyDescent="0.2">
      <c r="A321" s="2" t="s">
        <v>669</v>
      </c>
      <c r="B321" s="2" t="s">
        <v>397</v>
      </c>
      <c r="C321" s="2" t="s">
        <v>14</v>
      </c>
      <c r="D321" s="2" t="s">
        <v>15</v>
      </c>
      <c r="E321" s="7" t="s">
        <v>16</v>
      </c>
      <c r="F321" s="2" t="s">
        <v>17</v>
      </c>
      <c r="G321" s="2" t="s">
        <v>512</v>
      </c>
      <c r="H321" s="8">
        <f>25.204383-17.924383</f>
        <v>7.2800000000000011</v>
      </c>
      <c r="I321" s="13">
        <v>0.34</v>
      </c>
      <c r="J321" s="8">
        <f>(7.2*25.204383-9*17.924383)/$H321</f>
        <v>2.7681470604395622</v>
      </c>
      <c r="K321" s="16">
        <v>35</v>
      </c>
      <c r="L321" s="8"/>
      <c r="M321" s="8"/>
    </row>
    <row r="322" spans="1:13" ht="17.25" customHeight="1" x14ac:dyDescent="0.2">
      <c r="A322" s="2" t="s">
        <v>670</v>
      </c>
      <c r="B322" s="2" t="s">
        <v>397</v>
      </c>
      <c r="C322" s="2" t="s">
        <v>24</v>
      </c>
      <c r="D322" s="2"/>
      <c r="E322" s="2" t="s">
        <v>26</v>
      </c>
      <c r="F322" s="2" t="s">
        <v>671</v>
      </c>
      <c r="G322" s="2" t="s">
        <v>589</v>
      </c>
      <c r="H322" s="11">
        <f>7.8079+1.2117</f>
        <v>9.0196000000000005</v>
      </c>
      <c r="I322" s="8">
        <f>(0.55*7.8079+0.52*1.2117)/$H322</f>
        <v>0.54596977693024085</v>
      </c>
      <c r="J322" s="8">
        <f>(2.72*7.8079+2.66*1.2117)/$H322</f>
        <v>2.7119395538604816</v>
      </c>
      <c r="K322" s="10">
        <f>(18.262*7.8079+18*1.2117)/$H322</f>
        <v>18.226802718524102</v>
      </c>
      <c r="L322" s="8"/>
      <c r="M322" s="8"/>
    </row>
    <row r="323" spans="1:13" ht="17.25" customHeight="1" x14ac:dyDescent="0.2">
      <c r="A323" s="2" t="s">
        <v>672</v>
      </c>
      <c r="B323" s="2" t="s">
        <v>397</v>
      </c>
      <c r="C323" s="2" t="s">
        <v>24</v>
      </c>
      <c r="D323" s="2"/>
      <c r="E323" s="2" t="s">
        <v>26</v>
      </c>
      <c r="F323" s="2" t="s">
        <v>671</v>
      </c>
      <c r="G323" s="2" t="s">
        <v>673</v>
      </c>
      <c r="H323" s="11">
        <v>7.5602720000000003</v>
      </c>
      <c r="I323" s="8">
        <v>0.38100000000000001</v>
      </c>
      <c r="J323" s="8">
        <v>1.522</v>
      </c>
      <c r="K323" s="10">
        <v>15.311</v>
      </c>
      <c r="L323" s="8">
        <v>0.14599999999999999</v>
      </c>
      <c r="M323" s="8"/>
    </row>
    <row r="324" spans="1:13" ht="17.25" customHeight="1" x14ac:dyDescent="0.2">
      <c r="A324" s="2" t="s">
        <v>674</v>
      </c>
      <c r="B324" s="2" t="s">
        <v>397</v>
      </c>
      <c r="C324" s="2" t="s">
        <v>30</v>
      </c>
      <c r="D324" s="2" t="s">
        <v>49</v>
      </c>
      <c r="E324" s="7" t="s">
        <v>16</v>
      </c>
      <c r="F324" s="2" t="s">
        <v>675</v>
      </c>
      <c r="G324" s="2" t="s">
        <v>408</v>
      </c>
      <c r="H324" s="11">
        <v>0.68871199999999999</v>
      </c>
      <c r="I324" s="8">
        <v>1.82</v>
      </c>
      <c r="J324" s="8">
        <v>5.51</v>
      </c>
      <c r="K324" s="8">
        <v>58.6</v>
      </c>
      <c r="L324" s="8"/>
      <c r="M324" s="8">
        <v>0.99</v>
      </c>
    </row>
    <row r="325" spans="1:13" ht="17.25" customHeight="1" x14ac:dyDescent="0.2">
      <c r="A325" s="2" t="s">
        <v>676</v>
      </c>
      <c r="B325" s="2" t="s">
        <v>397</v>
      </c>
      <c r="C325" s="2" t="s">
        <v>30</v>
      </c>
      <c r="D325" s="2"/>
      <c r="E325" s="7" t="s">
        <v>16</v>
      </c>
      <c r="F325" s="2" t="s">
        <v>17</v>
      </c>
      <c r="G325" s="2" t="s">
        <v>408</v>
      </c>
      <c r="H325" s="11">
        <f>0.196087+0.020735</f>
        <v>0.21682200000000001</v>
      </c>
      <c r="I325" s="8">
        <v>2.85</v>
      </c>
      <c r="J325" s="8">
        <v>4.63</v>
      </c>
      <c r="K325" s="8">
        <v>411.3</v>
      </c>
      <c r="L325" s="8"/>
      <c r="M325" s="8">
        <v>0.47</v>
      </c>
    </row>
    <row r="326" spans="1:13" ht="17.25" customHeight="1" x14ac:dyDescent="0.2">
      <c r="A326" s="2" t="s">
        <v>677</v>
      </c>
      <c r="B326" s="2" t="s">
        <v>397</v>
      </c>
      <c r="C326" s="2" t="s">
        <v>24</v>
      </c>
      <c r="D326" s="2"/>
      <c r="E326" s="7" t="s">
        <v>16</v>
      </c>
      <c r="F326" s="2" t="s">
        <v>17</v>
      </c>
      <c r="G326" s="2" t="s">
        <v>408</v>
      </c>
      <c r="H326" s="8">
        <v>2.7</v>
      </c>
      <c r="I326" s="8">
        <v>0.01</v>
      </c>
      <c r="J326" s="8">
        <v>0.2</v>
      </c>
      <c r="K326" s="9">
        <v>34</v>
      </c>
      <c r="L326" s="8">
        <v>0.5</v>
      </c>
      <c r="M326" s="8">
        <v>0.3</v>
      </c>
    </row>
    <row r="327" spans="1:13" ht="17.25" customHeight="1" x14ac:dyDescent="0.2">
      <c r="A327" s="2" t="s">
        <v>678</v>
      </c>
      <c r="B327" s="2" t="s">
        <v>397</v>
      </c>
      <c r="C327" s="2" t="s">
        <v>24</v>
      </c>
      <c r="D327" s="2"/>
      <c r="E327" s="2" t="s">
        <v>26</v>
      </c>
      <c r="F327" s="2" t="s">
        <v>39</v>
      </c>
      <c r="G327" s="2" t="s">
        <v>40</v>
      </c>
      <c r="H327" s="8">
        <f>0.55+1</f>
        <v>1.55</v>
      </c>
      <c r="I327" s="8"/>
      <c r="J327" s="8">
        <f>(4.22*0.55+5*1)/$H327</f>
        <v>4.7232258064516124</v>
      </c>
      <c r="K327" s="12">
        <f>(19.7*0.55+20*1)/$H327</f>
        <v>19.893548387096775</v>
      </c>
      <c r="L327" s="10">
        <f>(0.82*0.55+1.3*1)/$H327</f>
        <v>1.1296774193548387</v>
      </c>
      <c r="M327" s="8">
        <f>(0.13*0.55+0*1)/$H327</f>
        <v>4.6129032258064522E-2</v>
      </c>
    </row>
    <row r="328" spans="1:13" ht="17.25" customHeight="1" x14ac:dyDescent="0.2">
      <c r="A328" s="2" t="s">
        <v>679</v>
      </c>
      <c r="B328" s="2" t="s">
        <v>397</v>
      </c>
      <c r="C328" s="2" t="s">
        <v>30</v>
      </c>
      <c r="D328" s="2"/>
      <c r="E328" s="2" t="s">
        <v>26</v>
      </c>
      <c r="F328" s="2" t="s">
        <v>680</v>
      </c>
      <c r="G328" s="2" t="s">
        <v>583</v>
      </c>
      <c r="H328" s="11">
        <v>2.63E-3</v>
      </c>
      <c r="I328" s="9">
        <v>14</v>
      </c>
      <c r="J328" s="8"/>
      <c r="K328" s="9">
        <v>411</v>
      </c>
      <c r="L328" s="9">
        <v>5</v>
      </c>
      <c r="M328" s="8">
        <v>2.4</v>
      </c>
    </row>
    <row r="329" spans="1:13" ht="17.25" customHeight="1" x14ac:dyDescent="0.2">
      <c r="A329" s="2" t="s">
        <v>681</v>
      </c>
      <c r="B329" s="2" t="s">
        <v>397</v>
      </c>
      <c r="C329" s="2" t="s">
        <v>682</v>
      </c>
      <c r="D329" s="2"/>
      <c r="E329" s="7" t="s">
        <v>16</v>
      </c>
      <c r="F329" s="2" t="s">
        <v>683</v>
      </c>
      <c r="G329" s="2" t="s">
        <v>468</v>
      </c>
      <c r="H329" s="11">
        <v>0.13937099999999999</v>
      </c>
      <c r="I329" s="8">
        <v>3.7</v>
      </c>
      <c r="J329" s="8"/>
      <c r="K329" s="9">
        <v>316</v>
      </c>
      <c r="L329" s="8"/>
      <c r="M329" s="8"/>
    </row>
    <row r="330" spans="1:13" ht="17.25" customHeight="1" x14ac:dyDescent="0.2">
      <c r="A330" s="2" t="s">
        <v>684</v>
      </c>
      <c r="B330" s="2" t="s">
        <v>397</v>
      </c>
      <c r="C330" s="2" t="s">
        <v>24</v>
      </c>
      <c r="D330" s="2"/>
      <c r="E330" s="2" t="s">
        <v>26</v>
      </c>
      <c r="F330" s="2" t="s">
        <v>685</v>
      </c>
      <c r="G330" s="2" t="s">
        <v>686</v>
      </c>
      <c r="H330" s="8">
        <f>1.46-0.173</f>
        <v>1.2869999999999999</v>
      </c>
      <c r="I330" s="8"/>
      <c r="J330" s="8">
        <v>15.06</v>
      </c>
      <c r="K330" s="8">
        <v>36.799999999999997</v>
      </c>
      <c r="L330" s="8">
        <v>0.84</v>
      </c>
      <c r="M330" s="8">
        <v>0.49</v>
      </c>
    </row>
    <row r="331" spans="1:13" ht="17.25" customHeight="1" x14ac:dyDescent="0.2">
      <c r="A331" s="2" t="s">
        <v>687</v>
      </c>
      <c r="B331" s="2" t="s">
        <v>397</v>
      </c>
      <c r="C331" s="2" t="s">
        <v>14</v>
      </c>
      <c r="D331" s="2" t="s">
        <v>15</v>
      </c>
      <c r="E331" s="2" t="s">
        <v>26</v>
      </c>
      <c r="F331" s="2" t="s">
        <v>688</v>
      </c>
      <c r="G331" s="2" t="s">
        <v>609</v>
      </c>
      <c r="H331" s="8">
        <f>0.472+1.144+0.043+0.531+0.138+0.664+2.195+1.026+0.113+0.292+0.394+1.018+0.319+0.519+0.627+1.873+0.331+0.459+2.599+0.656+3.494+0.251+3.302+0.193+2.343+0.282</f>
        <v>25.278000000000002</v>
      </c>
      <c r="I331" s="8">
        <f>(1.84*0.472+1.18*1.144+0.84*0.043+0.76*0.531+1.86*0.138+1.32*0.664+0.98*2.195+0.67*1.026+0.8*0.113+0.96*0.292+2.08*0.394+1.24*1.018+1.08*0.319+0.94*0.519+0.88*0.627+0.54*1.873+0.84*0.331+1.52*0.459+0.9*2.599+0.7*0.656+0.8*3.494+0.7*0.251+0.7*3.302+0.6*0.193+0.6*2.343+0.6*0.282)/$H331</f>
        <v>0.87922303979745198</v>
      </c>
      <c r="J331" s="8">
        <f>(2.68*0.472+2.74*1.144+2.12*0.043+1.87*0.531+1.88*0.138+1.92*0.664+2.37*2.195+2.46*1.026+1.69*0.113+1.9*0.292+2.14*0.394+1.76*1.018+2.86*0.319+2.62*0.519+1.97*0.627+2.52*1.873+2.18*0.331+1.74*0.459+3.1*2.599+2.6*0.656+3.1*3.494+2.5*0.251+2.8*3.302+2.3*0.193+2.4*2.343+2.2*0.282)/$H331</f>
        <v>2.5724622201123508</v>
      </c>
      <c r="K331" s="9"/>
      <c r="L331" s="8"/>
      <c r="M331" s="8"/>
    </row>
    <row r="332" spans="1:13" ht="17.25" customHeight="1" x14ac:dyDescent="0.2">
      <c r="A332" s="2" t="s">
        <v>689</v>
      </c>
      <c r="B332" s="2" t="s">
        <v>397</v>
      </c>
      <c r="C332" s="2" t="s">
        <v>30</v>
      </c>
      <c r="D332" s="2"/>
      <c r="E332" s="7" t="s">
        <v>16</v>
      </c>
      <c r="F332" s="2" t="s">
        <v>613</v>
      </c>
      <c r="G332" s="2" t="s">
        <v>564</v>
      </c>
      <c r="H332" s="8">
        <v>0.312</v>
      </c>
      <c r="I332" s="8">
        <v>2.5</v>
      </c>
      <c r="J332" s="8">
        <v>2.5</v>
      </c>
      <c r="K332" s="8">
        <v>390.8</v>
      </c>
      <c r="L332" s="8"/>
      <c r="M332" s="8">
        <v>3.81</v>
      </c>
    </row>
    <row r="333" spans="1:13" ht="17.25" customHeight="1" x14ac:dyDescent="0.2">
      <c r="A333" s="2" t="s">
        <v>690</v>
      </c>
      <c r="B333" s="2" t="s">
        <v>397</v>
      </c>
      <c r="C333" s="2" t="s">
        <v>24</v>
      </c>
      <c r="D333" s="2"/>
      <c r="E333" s="2" t="s">
        <v>26</v>
      </c>
      <c r="F333" s="2" t="s">
        <v>691</v>
      </c>
      <c r="G333" s="2" t="s">
        <v>692</v>
      </c>
      <c r="H333" s="8">
        <v>19.367000000000001</v>
      </c>
      <c r="I333" s="8">
        <v>0.02</v>
      </c>
      <c r="J333" s="8">
        <v>1.63</v>
      </c>
      <c r="K333" s="8">
        <v>15.42</v>
      </c>
      <c r="L333" s="8">
        <v>0.37</v>
      </c>
      <c r="M333" s="8">
        <v>0.95</v>
      </c>
    </row>
    <row r="334" spans="1:13" ht="17.25" customHeight="1" x14ac:dyDescent="0.2">
      <c r="A334" s="2" t="s">
        <v>693</v>
      </c>
      <c r="B334" s="2" t="s">
        <v>397</v>
      </c>
      <c r="C334" s="2" t="s">
        <v>14</v>
      </c>
      <c r="D334" s="2" t="s">
        <v>15</v>
      </c>
      <c r="E334" s="7" t="s">
        <v>16</v>
      </c>
      <c r="F334" s="2" t="s">
        <v>17</v>
      </c>
      <c r="G334" s="2" t="s">
        <v>512</v>
      </c>
      <c r="H334" s="8">
        <f>26-20.1</f>
        <v>5.8999999999999986</v>
      </c>
      <c r="I334" s="10">
        <f>(3.7*26-3.6*20.1)/$H334</f>
        <v>4.0406779661016943</v>
      </c>
      <c r="J334" s="10">
        <f>(13.9*26-13.4*20.1)/$H334</f>
        <v>15.603389830508478</v>
      </c>
      <c r="K334" s="9"/>
      <c r="L334" s="8"/>
      <c r="M334" s="8"/>
    </row>
    <row r="335" spans="1:13" ht="17.25" customHeight="1" x14ac:dyDescent="0.2">
      <c r="A335" s="2" t="s">
        <v>694</v>
      </c>
      <c r="B335" s="2" t="s">
        <v>397</v>
      </c>
      <c r="C335" s="2" t="s">
        <v>30</v>
      </c>
      <c r="D335" s="2"/>
      <c r="E335" s="7" t="s">
        <v>16</v>
      </c>
      <c r="F335" s="2" t="s">
        <v>17</v>
      </c>
      <c r="G335" s="2" t="s">
        <v>408</v>
      </c>
      <c r="H335" s="11">
        <v>0.82640000000000002</v>
      </c>
      <c r="I335" s="9">
        <v>5</v>
      </c>
      <c r="J335" s="9">
        <v>5</v>
      </c>
      <c r="K335" s="8">
        <v>668.5</v>
      </c>
      <c r="L335" s="8"/>
      <c r="M335" s="8"/>
    </row>
    <row r="336" spans="1:13" ht="17.25" customHeight="1" x14ac:dyDescent="0.2">
      <c r="A336" s="2" t="s">
        <v>695</v>
      </c>
      <c r="B336" s="2" t="s">
        <v>397</v>
      </c>
      <c r="C336" s="2" t="s">
        <v>30</v>
      </c>
      <c r="D336" s="2"/>
      <c r="E336" s="7" t="s">
        <v>16</v>
      </c>
      <c r="F336" s="2" t="s">
        <v>17</v>
      </c>
      <c r="G336" s="2" t="s">
        <v>408</v>
      </c>
      <c r="H336" s="11">
        <f>0.118+0.01116+0.018+0.000327</f>
        <v>0.14748699999999998</v>
      </c>
      <c r="I336" s="8">
        <f>(3*0.118+1.58*0.01116+2.1*0.018+0*0.000327)/$H336</f>
        <v>2.7760602629384286</v>
      </c>
      <c r="J336" s="8">
        <f>(0*0.118+1.87*0.01116+2.1*0.018+0*0.000327)/$H336</f>
        <v>0.39779234780014516</v>
      </c>
      <c r="K336" s="12">
        <f>(120*0.118+208*0.01116+31*0.018+2057*0.000327)/$H336</f>
        <v>120.09139110565677</v>
      </c>
      <c r="L336" s="8"/>
      <c r="M336" s="8">
        <f>(0.69*0.118+2.23*0.01116+0.27*0.018+0*0.000327)/$H336</f>
        <v>0.75373965163031331</v>
      </c>
    </row>
    <row r="337" spans="1:13" ht="17.25" customHeight="1" x14ac:dyDescent="0.2">
      <c r="A337" s="2" t="s">
        <v>696</v>
      </c>
      <c r="B337" s="2" t="s">
        <v>397</v>
      </c>
      <c r="C337" s="2" t="s">
        <v>14</v>
      </c>
      <c r="D337" s="2" t="s">
        <v>15</v>
      </c>
      <c r="E337" s="2" t="s">
        <v>26</v>
      </c>
      <c r="F337" s="2" t="s">
        <v>697</v>
      </c>
      <c r="G337" s="2" t="s">
        <v>698</v>
      </c>
      <c r="H337" s="11">
        <f>1.7+3.731+6.239</f>
        <v>11.67</v>
      </c>
      <c r="I337" s="10">
        <f>(9.7*1.7+10.5*3.731+11.5*6.239)/$H337</f>
        <v>10.918080548414737</v>
      </c>
      <c r="J337" s="10">
        <f>(12.1*1.7+10.2*3.731+14.5*6.239)/$H337</f>
        <v>12.775638389031705</v>
      </c>
      <c r="K337" s="12">
        <f>(155*1.7+162*3.731+229*6.239)/$H337</f>
        <v>196.79974293059129</v>
      </c>
      <c r="L337" s="8">
        <f>(0.28*1.7+0.32*3.731+0.57*6.239)/$H337</f>
        <v>0.44782776349614395</v>
      </c>
      <c r="M337" s="8"/>
    </row>
    <row r="338" spans="1:13" ht="17.25" customHeight="1" x14ac:dyDescent="0.2">
      <c r="A338" s="2" t="s">
        <v>699</v>
      </c>
      <c r="B338" s="2" t="s">
        <v>397</v>
      </c>
      <c r="C338" s="2" t="s">
        <v>30</v>
      </c>
      <c r="D338" s="2"/>
      <c r="E338" s="7" t="s">
        <v>16</v>
      </c>
      <c r="F338" s="2" t="s">
        <v>17</v>
      </c>
      <c r="G338" s="2" t="s">
        <v>408</v>
      </c>
      <c r="H338" s="11">
        <f>0.347381+0.011295+0.000816</f>
        <v>0.35949199999999998</v>
      </c>
      <c r="I338" s="10">
        <f>(4.93*0.347381+1.8*0.011295+6.2*0.000816)/$H338</f>
        <v>4.8345402122995784</v>
      </c>
      <c r="J338" s="8"/>
      <c r="K338" s="10">
        <f>(39.42*0.347381+148.1*0.011295+970.3*0.000816)/$H338</f>
        <v>44.947629766448216</v>
      </c>
      <c r="L338" s="10">
        <f>(1.5*0.347381+1.9*0.011295+4.2*0.000816)/$H338</f>
        <v>1.518696382673328</v>
      </c>
      <c r="M338" s="8"/>
    </row>
    <row r="339" spans="1:13" ht="17.25" customHeight="1" x14ac:dyDescent="0.2">
      <c r="A339" s="2" t="s">
        <v>700</v>
      </c>
      <c r="B339" s="2" t="s">
        <v>397</v>
      </c>
      <c r="C339" s="2" t="s">
        <v>24</v>
      </c>
      <c r="D339" s="2"/>
      <c r="E339" s="7" t="s">
        <v>16</v>
      </c>
      <c r="F339" s="2" t="s">
        <v>701</v>
      </c>
      <c r="G339" s="2" t="s">
        <v>702</v>
      </c>
      <c r="H339" s="8">
        <v>0.375</v>
      </c>
      <c r="I339" s="8">
        <v>4.8</v>
      </c>
      <c r="J339" s="8">
        <v>6.1</v>
      </c>
      <c r="K339" s="9">
        <v>55</v>
      </c>
      <c r="L339" s="8">
        <v>0.5</v>
      </c>
      <c r="M339" s="10">
        <v>4</v>
      </c>
    </row>
    <row r="340" spans="1:13" ht="17.25" customHeight="1" x14ac:dyDescent="0.2">
      <c r="A340" s="2" t="s">
        <v>703</v>
      </c>
      <c r="B340" s="2" t="s">
        <v>397</v>
      </c>
      <c r="C340" s="2" t="s">
        <v>14</v>
      </c>
      <c r="D340" s="2" t="s">
        <v>15</v>
      </c>
      <c r="E340" s="7" t="s">
        <v>16</v>
      </c>
      <c r="F340" s="2" t="s">
        <v>17</v>
      </c>
      <c r="G340" s="2" t="s">
        <v>408</v>
      </c>
      <c r="H340" s="11">
        <v>2.1770399999999999</v>
      </c>
      <c r="I340" s="8">
        <v>6.5</v>
      </c>
      <c r="J340" s="10">
        <v>18.5</v>
      </c>
      <c r="K340" s="8">
        <v>68.5</v>
      </c>
      <c r="L340" s="8"/>
      <c r="M340" s="8"/>
    </row>
    <row r="341" spans="1:13" ht="17.25" customHeight="1" x14ac:dyDescent="0.2">
      <c r="A341" s="2" t="s">
        <v>704</v>
      </c>
      <c r="B341" s="2" t="s">
        <v>397</v>
      </c>
      <c r="C341" s="2" t="s">
        <v>14</v>
      </c>
      <c r="D341" s="2" t="s">
        <v>38</v>
      </c>
      <c r="E341" s="7" t="s">
        <v>16</v>
      </c>
      <c r="F341" s="2" t="s">
        <v>17</v>
      </c>
      <c r="G341" s="2" t="s">
        <v>20</v>
      </c>
      <c r="H341" s="8">
        <v>5.8</v>
      </c>
      <c r="I341" s="8">
        <v>0.98</v>
      </c>
      <c r="J341" s="8">
        <v>3.42</v>
      </c>
      <c r="K341" s="8">
        <v>3.4</v>
      </c>
      <c r="L341" s="8"/>
      <c r="M341" s="8"/>
    </row>
    <row r="342" spans="1:13" ht="17.25" customHeight="1" x14ac:dyDescent="0.2">
      <c r="A342" s="2" t="s">
        <v>705</v>
      </c>
      <c r="B342" s="2" t="s">
        <v>397</v>
      </c>
      <c r="C342" s="2" t="s">
        <v>24</v>
      </c>
      <c r="D342" s="2"/>
      <c r="E342" s="7" t="s">
        <v>16</v>
      </c>
      <c r="F342" s="2" t="s">
        <v>546</v>
      </c>
      <c r="G342" s="2" t="s">
        <v>583</v>
      </c>
      <c r="H342" s="8">
        <v>0.48</v>
      </c>
      <c r="I342" s="8"/>
      <c r="J342" s="8">
        <v>7.97</v>
      </c>
      <c r="K342" s="8">
        <v>23.3</v>
      </c>
      <c r="L342" s="8">
        <v>0.4</v>
      </c>
      <c r="M342" s="8">
        <v>1.9</v>
      </c>
    </row>
    <row r="343" spans="1:13" ht="17.25" customHeight="1" x14ac:dyDescent="0.2">
      <c r="A343" s="2" t="s">
        <v>706</v>
      </c>
      <c r="B343" s="2" t="s">
        <v>397</v>
      </c>
      <c r="C343" s="2" t="s">
        <v>14</v>
      </c>
      <c r="D343" s="2" t="s">
        <v>38</v>
      </c>
      <c r="E343" s="7" t="s">
        <v>16</v>
      </c>
      <c r="F343" s="2" t="s">
        <v>707</v>
      </c>
      <c r="G343" s="2" t="s">
        <v>408</v>
      </c>
      <c r="H343" s="11">
        <v>2.605826</v>
      </c>
      <c r="I343" s="8">
        <v>5.0999999999999996</v>
      </c>
      <c r="J343" s="8">
        <v>5.6</v>
      </c>
      <c r="K343" s="8">
        <v>37.700000000000003</v>
      </c>
      <c r="L343" s="8"/>
      <c r="M343" s="8"/>
    </row>
    <row r="344" spans="1:13" ht="17.25" customHeight="1" x14ac:dyDescent="0.2">
      <c r="A344" s="2" t="s">
        <v>708</v>
      </c>
      <c r="B344" s="2" t="s">
        <v>397</v>
      </c>
      <c r="C344" s="2" t="s">
        <v>14</v>
      </c>
      <c r="D344" s="2" t="s">
        <v>15</v>
      </c>
      <c r="E344" s="7" t="s">
        <v>16</v>
      </c>
      <c r="F344" s="2" t="s">
        <v>17</v>
      </c>
      <c r="G344" s="2" t="s">
        <v>709</v>
      </c>
      <c r="H344" s="8">
        <v>20.137619999999998</v>
      </c>
      <c r="I344" s="10">
        <f>5/3</f>
        <v>1.6666666666666667</v>
      </c>
      <c r="J344" s="10">
        <f>5*(2/3)</f>
        <v>3.333333333333333</v>
      </c>
      <c r="K344" s="9"/>
      <c r="L344" s="8"/>
      <c r="M344" s="8"/>
    </row>
    <row r="345" spans="1:13" ht="17.25" customHeight="1" x14ac:dyDescent="0.2">
      <c r="A345" s="2" t="s">
        <v>710</v>
      </c>
      <c r="B345" s="2" t="s">
        <v>397</v>
      </c>
      <c r="C345" s="2" t="s">
        <v>24</v>
      </c>
      <c r="D345" s="2"/>
      <c r="E345" s="7" t="s">
        <v>16</v>
      </c>
      <c r="F345" s="2" t="s">
        <v>573</v>
      </c>
      <c r="G345" s="2" t="s">
        <v>574</v>
      </c>
      <c r="H345" s="10">
        <v>1</v>
      </c>
      <c r="I345" s="8"/>
      <c r="J345" s="8">
        <v>2.06</v>
      </c>
      <c r="K345" s="9"/>
      <c r="L345" s="8">
        <v>1.97</v>
      </c>
      <c r="M345" s="8"/>
    </row>
    <row r="346" spans="1:13" ht="17.25" customHeight="1" x14ac:dyDescent="0.2">
      <c r="A346" s="2" t="s">
        <v>711</v>
      </c>
      <c r="B346" s="2" t="s">
        <v>397</v>
      </c>
      <c r="C346" s="2" t="s">
        <v>24</v>
      </c>
      <c r="D346" s="2"/>
      <c r="E346" s="2" t="s">
        <v>26</v>
      </c>
      <c r="F346" s="2" t="s">
        <v>712</v>
      </c>
      <c r="G346" s="2" t="s">
        <v>713</v>
      </c>
      <c r="H346" s="11">
        <v>2.3139180000000001</v>
      </c>
      <c r="I346" s="8">
        <v>0.21</v>
      </c>
      <c r="J346" s="8">
        <v>0.88</v>
      </c>
      <c r="K346" s="8">
        <v>77.599999999999994</v>
      </c>
      <c r="L346" s="8">
        <v>0.21</v>
      </c>
      <c r="M346" s="8">
        <v>0.64</v>
      </c>
    </row>
    <row r="347" spans="1:13" ht="17.25" customHeight="1" x14ac:dyDescent="0.2">
      <c r="A347" s="2" t="s">
        <v>714</v>
      </c>
      <c r="B347" s="2" t="s">
        <v>397</v>
      </c>
      <c r="C347" s="2" t="s">
        <v>24</v>
      </c>
      <c r="D347" s="2"/>
      <c r="E347" s="7" t="s">
        <v>16</v>
      </c>
      <c r="F347" s="2" t="s">
        <v>641</v>
      </c>
      <c r="G347" s="2" t="s">
        <v>715</v>
      </c>
      <c r="H347" s="8">
        <f>0.279*0.9072</f>
        <v>0.25310880000000002</v>
      </c>
      <c r="I347" s="8"/>
      <c r="J347" s="8">
        <v>4.38</v>
      </c>
      <c r="K347" s="8">
        <v>42.16</v>
      </c>
      <c r="L347" s="8">
        <v>0.77</v>
      </c>
      <c r="M347" s="8"/>
    </row>
    <row r="348" spans="1:13" ht="17.25" customHeight="1" x14ac:dyDescent="0.2">
      <c r="A348" s="2" t="s">
        <v>716</v>
      </c>
      <c r="B348" s="2" t="s">
        <v>397</v>
      </c>
      <c r="C348" s="2" t="s">
        <v>24</v>
      </c>
      <c r="D348" s="2"/>
      <c r="E348" s="7" t="s">
        <v>16</v>
      </c>
      <c r="F348" s="2" t="s">
        <v>641</v>
      </c>
      <c r="G348" s="2" t="s">
        <v>715</v>
      </c>
      <c r="H348" s="8">
        <f>0.109*0.9072</f>
        <v>9.8884799999999995E-2</v>
      </c>
      <c r="I348" s="8">
        <v>0.61</v>
      </c>
      <c r="J348" s="8">
        <v>5.2</v>
      </c>
      <c r="K348" s="9"/>
      <c r="L348" s="8">
        <v>0.26</v>
      </c>
      <c r="M348" s="8"/>
    </row>
    <row r="349" spans="1:13" ht="17.25" customHeight="1" x14ac:dyDescent="0.2">
      <c r="A349" s="2" t="s">
        <v>717</v>
      </c>
      <c r="B349" s="2" t="s">
        <v>397</v>
      </c>
      <c r="C349" s="2" t="s">
        <v>24</v>
      </c>
      <c r="D349" s="2"/>
      <c r="E349" s="7" t="s">
        <v>16</v>
      </c>
      <c r="F349" s="2" t="s">
        <v>641</v>
      </c>
      <c r="G349" s="2" t="s">
        <v>715</v>
      </c>
      <c r="H349" s="8">
        <f>1.06*0.9072</f>
        <v>0.96163200000000004</v>
      </c>
      <c r="I349" s="8">
        <v>1.03</v>
      </c>
      <c r="J349" s="8">
        <v>6.86</v>
      </c>
      <c r="K349" s="8">
        <v>54.52</v>
      </c>
      <c r="L349" s="8">
        <v>0.7</v>
      </c>
      <c r="M349" s="8">
        <v>1.02</v>
      </c>
    </row>
    <row r="350" spans="1:13" ht="17.25" customHeight="1" x14ac:dyDescent="0.2">
      <c r="A350" s="2" t="s">
        <v>718</v>
      </c>
      <c r="B350" s="2" t="s">
        <v>397</v>
      </c>
      <c r="C350" s="2" t="s">
        <v>24</v>
      </c>
      <c r="D350" s="2"/>
      <c r="E350" s="7" t="s">
        <v>16</v>
      </c>
      <c r="F350" s="2" t="s">
        <v>641</v>
      </c>
      <c r="G350" s="2" t="s">
        <v>715</v>
      </c>
      <c r="H350" s="8">
        <f>5.44*0.9072</f>
        <v>4.935168</v>
      </c>
      <c r="I350" s="8"/>
      <c r="J350" s="8">
        <v>1.8</v>
      </c>
      <c r="K350" s="9"/>
      <c r="L350" s="8">
        <v>1.49</v>
      </c>
      <c r="M350" s="8"/>
    </row>
    <row r="351" spans="1:13" ht="17.25" customHeight="1" x14ac:dyDescent="0.2">
      <c r="A351" s="2" t="s">
        <v>719</v>
      </c>
      <c r="B351" s="2" t="s">
        <v>397</v>
      </c>
      <c r="C351" s="2" t="s">
        <v>14</v>
      </c>
      <c r="D351" s="2" t="s">
        <v>38</v>
      </c>
      <c r="E351" s="2" t="s">
        <v>26</v>
      </c>
      <c r="F351" s="2" t="s">
        <v>720</v>
      </c>
      <c r="G351" s="2" t="s">
        <v>721</v>
      </c>
      <c r="H351" s="8">
        <f>7.083+8.048</f>
        <v>15.131</v>
      </c>
      <c r="I351" s="8">
        <f>(1.25*7.083+1.08*8.048)/$H351</f>
        <v>1.1595790099795122</v>
      </c>
      <c r="J351" s="8">
        <f>(6.07*7.083+5.74*8.048)/$H351</f>
        <v>5.8944769017249365</v>
      </c>
      <c r="K351" s="9"/>
      <c r="L351" s="8"/>
      <c r="M351" s="8"/>
    </row>
    <row r="352" spans="1:13" ht="17.25" customHeight="1" x14ac:dyDescent="0.2">
      <c r="A352" s="2" t="s">
        <v>722</v>
      </c>
      <c r="B352" s="2" t="s">
        <v>397</v>
      </c>
      <c r="C352" s="2" t="s">
        <v>30</v>
      </c>
      <c r="D352" s="2"/>
      <c r="E352" s="7" t="s">
        <v>16</v>
      </c>
      <c r="F352" s="2" t="s">
        <v>723</v>
      </c>
      <c r="G352" s="2" t="s">
        <v>408</v>
      </c>
      <c r="H352" s="11">
        <v>0.27394400000000002</v>
      </c>
      <c r="I352" s="8">
        <v>5.4</v>
      </c>
      <c r="J352" s="10">
        <v>4.8</v>
      </c>
      <c r="K352" s="8">
        <v>233.1</v>
      </c>
      <c r="L352" s="8"/>
      <c r="M352" s="8"/>
    </row>
    <row r="353" spans="1:13" ht="17.25" customHeight="1" x14ac:dyDescent="0.2">
      <c r="A353" s="2" t="s">
        <v>724</v>
      </c>
      <c r="B353" s="2" t="s">
        <v>397</v>
      </c>
      <c r="C353" s="2" t="s">
        <v>24</v>
      </c>
      <c r="D353" s="2"/>
      <c r="E353" s="2" t="s">
        <v>26</v>
      </c>
      <c r="F353" s="2" t="s">
        <v>455</v>
      </c>
      <c r="G353" s="2" t="s">
        <v>540</v>
      </c>
      <c r="H353" s="11">
        <v>22.263781000000002</v>
      </c>
      <c r="I353" s="8"/>
      <c r="J353" s="8">
        <v>1.33</v>
      </c>
      <c r="K353" s="9"/>
      <c r="L353" s="8">
        <v>1.1000000000000001</v>
      </c>
      <c r="M353" s="8"/>
    </row>
    <row r="354" spans="1:13" ht="17.25" customHeight="1" x14ac:dyDescent="0.2">
      <c r="A354" s="2" t="s">
        <v>725</v>
      </c>
      <c r="B354" s="2" t="s">
        <v>397</v>
      </c>
      <c r="C354" s="7" t="s">
        <v>467</v>
      </c>
      <c r="D354" s="2"/>
      <c r="E354" s="2" t="s">
        <v>26</v>
      </c>
      <c r="F354" s="2" t="s">
        <v>726</v>
      </c>
      <c r="G354" s="2" t="s">
        <v>727</v>
      </c>
      <c r="H354" s="8">
        <v>2.19</v>
      </c>
      <c r="I354" s="8">
        <v>2.6</v>
      </c>
      <c r="J354" s="8">
        <v>10.4</v>
      </c>
      <c r="K354" s="9"/>
      <c r="L354" s="8"/>
      <c r="M354" s="8"/>
    </row>
    <row r="355" spans="1:13" ht="17.25" customHeight="1" x14ac:dyDescent="0.2">
      <c r="A355" s="2" t="s">
        <v>728</v>
      </c>
      <c r="B355" s="2" t="s">
        <v>397</v>
      </c>
      <c r="C355" s="2" t="s">
        <v>14</v>
      </c>
      <c r="D355" s="2"/>
      <c r="E355" s="7" t="s">
        <v>16</v>
      </c>
      <c r="F355" s="2" t="s">
        <v>17</v>
      </c>
      <c r="G355" s="2" t="s">
        <v>451</v>
      </c>
      <c r="H355" s="8">
        <v>1.5</v>
      </c>
      <c r="I355" s="8"/>
      <c r="J355" s="8">
        <v>5.7</v>
      </c>
      <c r="K355" s="9"/>
      <c r="L355" s="8"/>
      <c r="M355" s="8"/>
    </row>
    <row r="356" spans="1:13" ht="17.25" customHeight="1" x14ac:dyDescent="0.2">
      <c r="A356" s="2" t="s">
        <v>729</v>
      </c>
      <c r="B356" s="2" t="s">
        <v>397</v>
      </c>
      <c r="C356" s="2" t="s">
        <v>14</v>
      </c>
      <c r="D356" s="2" t="s">
        <v>15</v>
      </c>
      <c r="E356" s="7" t="s">
        <v>16</v>
      </c>
      <c r="F356" s="2" t="s">
        <v>17</v>
      </c>
      <c r="G356" s="2" t="s">
        <v>408</v>
      </c>
      <c r="H356" s="11">
        <v>3.6287E-2</v>
      </c>
      <c r="I356" s="8">
        <v>0.1</v>
      </c>
      <c r="J356" s="8">
        <v>4.0999999999999996</v>
      </c>
      <c r="K356" s="9"/>
      <c r="L356" s="8"/>
      <c r="M356" s="8"/>
    </row>
    <row r="357" spans="1:13" ht="17.25" customHeight="1" x14ac:dyDescent="0.2">
      <c r="A357" s="2" t="s">
        <v>730</v>
      </c>
      <c r="B357" s="2" t="s">
        <v>397</v>
      </c>
      <c r="C357" s="2" t="s">
        <v>24</v>
      </c>
      <c r="D357" s="2"/>
      <c r="E357" s="7" t="s">
        <v>16</v>
      </c>
      <c r="F357" s="2" t="s">
        <v>508</v>
      </c>
      <c r="G357" s="2" t="s">
        <v>408</v>
      </c>
      <c r="H357" s="8">
        <v>1.34</v>
      </c>
      <c r="I357" s="8">
        <v>0.4</v>
      </c>
      <c r="J357" s="8">
        <v>3.8</v>
      </c>
      <c r="K357" s="9">
        <v>13</v>
      </c>
      <c r="L357" s="8">
        <v>0.1</v>
      </c>
      <c r="M357" s="8">
        <v>0.25</v>
      </c>
    </row>
    <row r="358" spans="1:13" ht="17.25" customHeight="1" x14ac:dyDescent="0.2">
      <c r="A358" s="2" t="s">
        <v>731</v>
      </c>
      <c r="B358" s="2" t="s">
        <v>397</v>
      </c>
      <c r="C358" s="2" t="s">
        <v>14</v>
      </c>
      <c r="D358" s="2" t="s">
        <v>15</v>
      </c>
      <c r="E358" s="2" t="s">
        <v>26</v>
      </c>
      <c r="F358" s="2" t="s">
        <v>732</v>
      </c>
      <c r="G358" s="2" t="s">
        <v>686</v>
      </c>
      <c r="H358" s="8">
        <f>2.075+5.77+3.677</f>
        <v>11.522</v>
      </c>
      <c r="I358" s="8">
        <f>(1.68*2.075+1.69*5.77+1.51*3.677)/$H358</f>
        <v>1.6307559451484115</v>
      </c>
      <c r="J358" s="8">
        <f>(3.14*2.075+3.3*5.77+2.35*3.677)/$H358</f>
        <v>2.9680133657351155</v>
      </c>
      <c r="K358" s="9"/>
      <c r="L358" s="8"/>
      <c r="M358" s="8"/>
    </row>
    <row r="359" spans="1:13" ht="17.25" customHeight="1" x14ac:dyDescent="0.2">
      <c r="A359" s="2" t="s">
        <v>733</v>
      </c>
      <c r="B359" s="2" t="s">
        <v>397</v>
      </c>
      <c r="C359" s="2" t="s">
        <v>14</v>
      </c>
      <c r="D359" s="2" t="s">
        <v>15</v>
      </c>
      <c r="E359" s="2" t="s">
        <v>26</v>
      </c>
      <c r="F359" s="2" t="s">
        <v>732</v>
      </c>
      <c r="G359" s="2" t="s">
        <v>686</v>
      </c>
      <c r="H359" s="8">
        <f>1.55+2.81+0.96</f>
        <v>5.32</v>
      </c>
      <c r="I359" s="8">
        <f>(1.45*1.55+1.44*2.81+1.59*0.96)/$H359</f>
        <v>1.4699812030075188</v>
      </c>
      <c r="J359" s="8">
        <f>(1.97*1.55+1.82*2.81+1.73*0.96)/$H359</f>
        <v>1.8474624060150375</v>
      </c>
      <c r="K359" s="9"/>
      <c r="L359" s="8"/>
      <c r="M359" s="8"/>
    </row>
    <row r="360" spans="1:13" ht="17.25" customHeight="1" x14ac:dyDescent="0.2">
      <c r="A360" s="2" t="s">
        <v>734</v>
      </c>
      <c r="B360" s="2" t="s">
        <v>397</v>
      </c>
      <c r="C360" s="2" t="s">
        <v>24</v>
      </c>
      <c r="D360" s="2"/>
      <c r="E360" s="2" t="s">
        <v>26</v>
      </c>
      <c r="F360" s="2" t="s">
        <v>514</v>
      </c>
      <c r="G360" s="2" t="s">
        <v>735</v>
      </c>
      <c r="H360" s="8">
        <v>5.4470000000000001</v>
      </c>
      <c r="I360" s="8"/>
      <c r="J360" s="8">
        <v>4.5999999999999996</v>
      </c>
      <c r="K360" s="10">
        <v>34</v>
      </c>
      <c r="L360" s="8">
        <v>1.2</v>
      </c>
      <c r="M360" s="8">
        <v>0.2</v>
      </c>
    </row>
    <row r="361" spans="1:13" ht="17.25" customHeight="1" x14ac:dyDescent="0.2">
      <c r="A361" s="2" t="s">
        <v>736</v>
      </c>
      <c r="B361" s="2" t="s">
        <v>397</v>
      </c>
      <c r="C361" s="2" t="s">
        <v>30</v>
      </c>
      <c r="D361" s="2"/>
      <c r="E361" s="7" t="s">
        <v>16</v>
      </c>
      <c r="F361" s="2" t="s">
        <v>17</v>
      </c>
      <c r="G361" s="2" t="s">
        <v>408</v>
      </c>
      <c r="H361" s="11">
        <v>1.5062390000000001</v>
      </c>
      <c r="I361" s="8">
        <v>0.15</v>
      </c>
      <c r="J361" s="8">
        <v>3.57</v>
      </c>
      <c r="K361" s="8">
        <v>41.13</v>
      </c>
      <c r="L361" s="8">
        <v>0.63</v>
      </c>
      <c r="M361" s="8">
        <v>0.82</v>
      </c>
    </row>
    <row r="362" spans="1:13" ht="17.25" customHeight="1" x14ac:dyDescent="0.2">
      <c r="A362" s="2" t="s">
        <v>737</v>
      </c>
      <c r="B362" s="2" t="s">
        <v>397</v>
      </c>
      <c r="C362" s="2" t="s">
        <v>24</v>
      </c>
      <c r="D362" s="2"/>
      <c r="E362" s="2" t="s">
        <v>26</v>
      </c>
      <c r="F362" s="2" t="s">
        <v>738</v>
      </c>
      <c r="G362" s="2" t="s">
        <v>428</v>
      </c>
      <c r="H362" s="11">
        <f>6.5528+15.86</f>
        <v>22.412800000000001</v>
      </c>
      <c r="I362" s="8"/>
      <c r="J362" s="8">
        <f>(1.22*6.5528+0.84*15.86)/$H362</f>
        <v>0.95110008566533399</v>
      </c>
      <c r="K362" s="8">
        <f>(7.4*6.5528+5.77*15.86)/$H362</f>
        <v>6.2465608937749852</v>
      </c>
      <c r="L362" s="8">
        <f>(0.85*6.5528+0.68*15.86)/$H362</f>
        <v>0.72970266990291266</v>
      </c>
      <c r="M362" s="8">
        <f>(0.37*6.5528+0.28*15.86)/$H362</f>
        <v>0.30631317818389497</v>
      </c>
    </row>
    <row r="363" spans="1:13" ht="17.25" customHeight="1" x14ac:dyDescent="0.2">
      <c r="A363" s="2" t="s">
        <v>739</v>
      </c>
      <c r="B363" s="2" t="s">
        <v>397</v>
      </c>
      <c r="C363" s="2" t="s">
        <v>30</v>
      </c>
      <c r="D363" s="2"/>
      <c r="E363" s="2" t="s">
        <v>26</v>
      </c>
      <c r="F363" s="2" t="s">
        <v>740</v>
      </c>
      <c r="G363" s="2" t="s">
        <v>741</v>
      </c>
      <c r="H363" s="11">
        <f>0.702+0.967</f>
        <v>1.669</v>
      </c>
      <c r="I363" s="8">
        <f>(0.33*0.702+0.25*0.967)/$H363</f>
        <v>0.28364889155182743</v>
      </c>
      <c r="J363" s="8">
        <f>(0.88*0.702+0.64*0.967)/$H363</f>
        <v>0.74094667465548225</v>
      </c>
      <c r="K363" s="10">
        <f>(17.89*0.702+18.98*0.967)/$H363</f>
        <v>18.521533852606353</v>
      </c>
      <c r="L363" s="8">
        <f>(0.07*0.702+0.4*0.967)/$H363</f>
        <v>0.26119832234871182</v>
      </c>
      <c r="M363" s="8">
        <f>(4.46*0.702+4.39*0.967)/$H363</f>
        <v>4.4194427801078486</v>
      </c>
    </row>
    <row r="364" spans="1:13" ht="17.25" customHeight="1" x14ac:dyDescent="0.2">
      <c r="A364" s="2" t="s">
        <v>742</v>
      </c>
      <c r="B364" s="2" t="s">
        <v>397</v>
      </c>
      <c r="C364" s="2" t="s">
        <v>30</v>
      </c>
      <c r="D364" s="2" t="s">
        <v>49</v>
      </c>
      <c r="E364" s="2" t="s">
        <v>26</v>
      </c>
      <c r="F364" s="2" t="s">
        <v>743</v>
      </c>
      <c r="G364" s="2" t="s">
        <v>744</v>
      </c>
      <c r="H364" s="11">
        <v>6.9500000000000006E-2</v>
      </c>
      <c r="I364" s="8">
        <v>1.89</v>
      </c>
      <c r="J364" s="8">
        <v>9.1199999999999992</v>
      </c>
      <c r="K364" s="10">
        <v>555.66</v>
      </c>
      <c r="L364" s="8"/>
      <c r="M364" s="8"/>
    </row>
    <row r="365" spans="1:13" ht="17.25" customHeight="1" x14ac:dyDescent="0.2">
      <c r="A365" s="2" t="s">
        <v>745</v>
      </c>
      <c r="B365" s="2" t="s">
        <v>397</v>
      </c>
      <c r="C365" s="2" t="s">
        <v>30</v>
      </c>
      <c r="D365" s="2"/>
      <c r="E365" s="7" t="s">
        <v>16</v>
      </c>
      <c r="F365" s="2" t="s">
        <v>17</v>
      </c>
      <c r="G365" s="2" t="s">
        <v>408</v>
      </c>
      <c r="H365" s="11">
        <f>0.029753+0.011974+0.008543+0.005533+0.006186+0.006147</f>
        <v>6.8136000000000002E-2</v>
      </c>
      <c r="I365" s="8">
        <f>(2.09*0.029753+1.8*0.011974+1.05*0.008543+1.6*0.005533+1.16*0.006186+1.2*0.006147)/$H365</f>
        <v>1.7041223435481976</v>
      </c>
      <c r="J365" s="8">
        <f>(0.54*0.029753+1*0.011974+3.67*0.008543+0.1*0.005533+0.09*0.006186+0.3*0.006147)/$H365</f>
        <v>0.91504593753669139</v>
      </c>
      <c r="K365" s="8">
        <f>(7.54*0.029753+9.5*0.011974+8.56*0.008543+8.4*0.005533+4.13*0.006186+2.9*0.006147)/$H365</f>
        <v>7.3539741106023246</v>
      </c>
      <c r="L365" s="8"/>
      <c r="M365" s="8"/>
    </row>
    <row r="366" spans="1:13" ht="17.25" customHeight="1" x14ac:dyDescent="0.2">
      <c r="A366" s="2" t="s">
        <v>746</v>
      </c>
      <c r="B366" s="2" t="s">
        <v>397</v>
      </c>
      <c r="C366" s="2" t="s">
        <v>30</v>
      </c>
      <c r="D366" s="2"/>
      <c r="E366" s="7" t="s">
        <v>16</v>
      </c>
      <c r="F366" s="2" t="s">
        <v>747</v>
      </c>
      <c r="G366" s="2" t="s">
        <v>748</v>
      </c>
      <c r="H366" s="11">
        <f>(0.708134+0.220266)*0.9072</f>
        <v>0.84224447999999996</v>
      </c>
      <c r="I366" s="8">
        <f>(0.82*0.708134+0.89*0.220266)/(0.708134+0.220266)</f>
        <v>0.83660773373545871</v>
      </c>
      <c r="J366" s="8">
        <f>(5.43*0.708134+5.67*0.220266)/(0.708134+0.220266)</f>
        <v>5.4869408013787169</v>
      </c>
      <c r="K366" s="10">
        <f>((4.78*0.708134+8.15*0.220266)/(0.708134+0.220266))*31.1/0.9072</f>
        <v>191.27404178653688</v>
      </c>
      <c r="L366" s="8">
        <f>(0.19*0.708134+0.54*0.220266)/(0.708134+0.220266)</f>
        <v>0.27303866867729432</v>
      </c>
      <c r="M366" s="8">
        <f>((0.086*0.708134+0.152*0.220266)/(0.708134+0.220266))*31.1/0.9072</f>
        <v>3.4849936108812485</v>
      </c>
    </row>
    <row r="367" spans="1:13" ht="17.25" customHeight="1" x14ac:dyDescent="0.2">
      <c r="A367" s="2" t="s">
        <v>749</v>
      </c>
      <c r="B367" s="2" t="s">
        <v>397</v>
      </c>
      <c r="C367" s="2" t="s">
        <v>30</v>
      </c>
      <c r="D367" s="2"/>
      <c r="E367" s="7" t="s">
        <v>16</v>
      </c>
      <c r="F367" s="2" t="s">
        <v>747</v>
      </c>
      <c r="G367" s="2" t="s">
        <v>748</v>
      </c>
      <c r="H367" s="11">
        <v>0.5776</v>
      </c>
      <c r="I367" s="8">
        <v>1.49</v>
      </c>
      <c r="J367" s="8">
        <v>6.53</v>
      </c>
      <c r="K367" s="9">
        <v>257</v>
      </c>
      <c r="L367" s="8">
        <v>0.49</v>
      </c>
      <c r="M367" s="8">
        <v>3.7</v>
      </c>
    </row>
    <row r="368" spans="1:13" ht="17.25" customHeight="1" x14ac:dyDescent="0.2">
      <c r="A368" s="2" t="s">
        <v>750</v>
      </c>
      <c r="B368" s="2" t="s">
        <v>397</v>
      </c>
      <c r="C368" s="2" t="s">
        <v>14</v>
      </c>
      <c r="D368" s="2" t="s">
        <v>38</v>
      </c>
      <c r="E368" s="2" t="s">
        <v>26</v>
      </c>
      <c r="F368" s="2" t="s">
        <v>726</v>
      </c>
      <c r="G368" s="2" t="s">
        <v>751</v>
      </c>
      <c r="H368" s="8">
        <v>2.57</v>
      </c>
      <c r="I368" s="8">
        <v>6.4</v>
      </c>
      <c r="J368" s="8">
        <v>8.8000000000000007</v>
      </c>
      <c r="K368" s="9">
        <v>325</v>
      </c>
      <c r="L368" s="8"/>
      <c r="M368" s="8">
        <v>0.63</v>
      </c>
    </row>
    <row r="369" spans="1:13" ht="17.25" customHeight="1" x14ac:dyDescent="0.2">
      <c r="A369" s="2" t="s">
        <v>752</v>
      </c>
      <c r="B369" s="2" t="s">
        <v>397</v>
      </c>
      <c r="C369" s="2" t="s">
        <v>14</v>
      </c>
      <c r="D369" s="2" t="s">
        <v>38</v>
      </c>
      <c r="E369" s="7" t="s">
        <v>16</v>
      </c>
      <c r="F369" s="2" t="s">
        <v>527</v>
      </c>
      <c r="G369" s="2" t="s">
        <v>753</v>
      </c>
      <c r="H369" s="8">
        <v>0.05</v>
      </c>
      <c r="I369" s="8"/>
      <c r="J369" s="8">
        <v>4.5</v>
      </c>
      <c r="K369" s="9"/>
      <c r="L369" s="8"/>
      <c r="M369" s="8"/>
    </row>
    <row r="370" spans="1:13" ht="17.25" customHeight="1" x14ac:dyDescent="0.2">
      <c r="A370" s="2" t="s">
        <v>754</v>
      </c>
      <c r="B370" s="2" t="s">
        <v>397</v>
      </c>
      <c r="C370" s="2" t="s">
        <v>24</v>
      </c>
      <c r="D370" s="2"/>
      <c r="E370" s="7" t="s">
        <v>16</v>
      </c>
      <c r="F370" s="2" t="s">
        <v>440</v>
      </c>
      <c r="G370" s="2" t="s">
        <v>755</v>
      </c>
      <c r="H370" s="9">
        <v>1</v>
      </c>
      <c r="I370" s="8"/>
      <c r="J370" s="9">
        <v>2</v>
      </c>
      <c r="K370" s="9"/>
      <c r="L370" s="9">
        <v>2</v>
      </c>
      <c r="M370" s="8"/>
    </row>
    <row r="371" spans="1:13" ht="17.25" customHeight="1" x14ac:dyDescent="0.2">
      <c r="A371" s="2" t="s">
        <v>756</v>
      </c>
      <c r="B371" s="2" t="s">
        <v>397</v>
      </c>
      <c r="C371" s="2" t="s">
        <v>30</v>
      </c>
      <c r="D371" s="2"/>
      <c r="E371" s="7" t="s">
        <v>16</v>
      </c>
      <c r="F371" s="2" t="s">
        <v>17</v>
      </c>
      <c r="G371" s="2" t="s">
        <v>408</v>
      </c>
      <c r="H371" s="11">
        <f>0.0544+0.00808+0.019546+0.011398+0.027215</f>
        <v>0.120639</v>
      </c>
      <c r="I371" s="8">
        <f>(3.4*0.0544+18.8*0.00808+0.06*0.019546+7.75*0.011398+0*0.027215)/$H371</f>
        <v>3.5342738252140684</v>
      </c>
      <c r="J371" s="8">
        <f>(4.7*0.0544+42.6*0.00808+41.21*0.019546+2.84*0.011398+7.53*0.027215)/$H371</f>
        <v>13.616475020515754</v>
      </c>
      <c r="K371" s="12">
        <f>(290*0.0544+1131*0.00808+226*0.019546+778.1*0.011398+41.13*0.027215)/$H371</f>
        <v>325.93118933346602</v>
      </c>
      <c r="L371" s="8"/>
      <c r="M371" s="8"/>
    </row>
    <row r="372" spans="1:13" ht="17.25" customHeight="1" x14ac:dyDescent="0.2">
      <c r="A372" s="2" t="s">
        <v>757</v>
      </c>
      <c r="B372" s="2" t="s">
        <v>397</v>
      </c>
      <c r="C372" s="2" t="s">
        <v>132</v>
      </c>
      <c r="D372" s="2"/>
      <c r="E372" s="7" t="s">
        <v>16</v>
      </c>
      <c r="F372" s="2" t="s">
        <v>17</v>
      </c>
      <c r="G372" s="2" t="s">
        <v>408</v>
      </c>
      <c r="H372" s="11">
        <v>8.3905999999999994E-2</v>
      </c>
      <c r="I372" s="8">
        <v>3.7</v>
      </c>
      <c r="J372" s="8">
        <v>12.5</v>
      </c>
      <c r="K372" s="8">
        <v>64.400000000000006</v>
      </c>
      <c r="L372" s="8">
        <v>1.69</v>
      </c>
      <c r="M372" s="8"/>
    </row>
    <row r="373" spans="1:13" ht="17.25" customHeight="1" x14ac:dyDescent="0.2">
      <c r="A373" s="2" t="s">
        <v>758</v>
      </c>
      <c r="B373" s="2" t="s">
        <v>397</v>
      </c>
      <c r="C373" s="2" t="s">
        <v>30</v>
      </c>
      <c r="D373" s="2"/>
      <c r="E373" s="7" t="s">
        <v>16</v>
      </c>
      <c r="F373" s="2" t="s">
        <v>17</v>
      </c>
      <c r="G373" s="2" t="s">
        <v>408</v>
      </c>
      <c r="H373" s="8">
        <v>1.36</v>
      </c>
      <c r="I373" s="8">
        <v>0.17</v>
      </c>
      <c r="J373" s="8">
        <v>0.08</v>
      </c>
      <c r="K373" s="8">
        <v>4.2</v>
      </c>
      <c r="L373" s="8">
        <v>0.01</v>
      </c>
      <c r="M373" s="8">
        <v>0.06</v>
      </c>
    </row>
    <row r="374" spans="1:13" ht="17.25" customHeight="1" x14ac:dyDescent="0.2">
      <c r="A374" s="2" t="s">
        <v>759</v>
      </c>
      <c r="B374" s="2" t="s">
        <v>397</v>
      </c>
      <c r="C374" s="2" t="s">
        <v>30</v>
      </c>
      <c r="D374" s="2"/>
      <c r="E374" s="7" t="s">
        <v>16</v>
      </c>
      <c r="F374" s="2" t="s">
        <v>760</v>
      </c>
      <c r="G374" s="2" t="s">
        <v>408</v>
      </c>
      <c r="H374" s="11">
        <v>0.59070299999999998</v>
      </c>
      <c r="I374" s="8">
        <v>2.66</v>
      </c>
      <c r="J374" s="8">
        <v>1.26</v>
      </c>
      <c r="K374" s="8">
        <v>71.599999999999994</v>
      </c>
      <c r="L374" s="8">
        <v>1.1000000000000001</v>
      </c>
      <c r="M374" s="8">
        <v>1.19</v>
      </c>
    </row>
    <row r="375" spans="1:13" ht="17.25" customHeight="1" x14ac:dyDescent="0.2">
      <c r="A375" s="2" t="s">
        <v>761</v>
      </c>
      <c r="B375" s="2" t="s">
        <v>397</v>
      </c>
      <c r="C375" s="2" t="s">
        <v>14</v>
      </c>
      <c r="D375" s="2" t="s">
        <v>38</v>
      </c>
      <c r="E375" s="7" t="s">
        <v>16</v>
      </c>
      <c r="F375" s="2" t="s">
        <v>17</v>
      </c>
      <c r="G375" s="2" t="s">
        <v>430</v>
      </c>
      <c r="H375" s="8">
        <v>2.5000000000000001E-2</v>
      </c>
      <c r="I375" s="8">
        <v>3.7</v>
      </c>
      <c r="J375" s="8">
        <v>15.6</v>
      </c>
      <c r="K375" s="8">
        <v>76.3</v>
      </c>
      <c r="L375" s="8"/>
      <c r="M375" s="8"/>
    </row>
    <row r="376" spans="1:13" ht="17.25" customHeight="1" x14ac:dyDescent="0.2">
      <c r="A376" s="2" t="s">
        <v>762</v>
      </c>
      <c r="B376" s="2" t="s">
        <v>397</v>
      </c>
      <c r="C376" s="2" t="s">
        <v>24</v>
      </c>
      <c r="D376" s="2"/>
      <c r="E376" s="2" t="s">
        <v>26</v>
      </c>
      <c r="F376" s="2" t="s">
        <v>455</v>
      </c>
      <c r="G376" s="2" t="s">
        <v>589</v>
      </c>
      <c r="H376" s="11">
        <v>5.5244999999999997</v>
      </c>
      <c r="I376" s="8">
        <v>2.59</v>
      </c>
      <c r="J376" s="8">
        <v>6.11</v>
      </c>
      <c r="K376" s="8">
        <v>54.21</v>
      </c>
      <c r="L376" s="8">
        <v>0.4</v>
      </c>
      <c r="M376" s="8">
        <v>0.62</v>
      </c>
    </row>
    <row r="377" spans="1:13" ht="17.25" customHeight="1" x14ac:dyDescent="0.2">
      <c r="A377" s="2" t="s">
        <v>763</v>
      </c>
      <c r="B377" s="2" t="s">
        <v>397</v>
      </c>
      <c r="C377" s="2" t="s">
        <v>14</v>
      </c>
      <c r="D377" s="2" t="s">
        <v>38</v>
      </c>
      <c r="E377" s="7" t="s">
        <v>16</v>
      </c>
      <c r="F377" s="2" t="s">
        <v>17</v>
      </c>
      <c r="G377" s="2" t="s">
        <v>430</v>
      </c>
      <c r="H377" s="8">
        <f>161.97-149.173608</f>
        <v>12.796391999999997</v>
      </c>
      <c r="I377" s="10">
        <f>(6.08*161.97-5.64*149.173608)/$H377</f>
        <v>11.209288593222217</v>
      </c>
      <c r="J377" s="10">
        <f>(5.86*161.97-5.33*149.173608)/$H377</f>
        <v>12.038461260017671</v>
      </c>
      <c r="K377" s="12">
        <f>(67.36*161.97-62.1*149.173608)/$H377</f>
        <v>128.67831363715646</v>
      </c>
      <c r="L377" s="8"/>
      <c r="M377" s="8"/>
    </row>
    <row r="378" spans="1:13" ht="17.25" customHeight="1" x14ac:dyDescent="0.2">
      <c r="A378" s="2" t="s">
        <v>764</v>
      </c>
      <c r="B378" s="2" t="s">
        <v>397</v>
      </c>
      <c r="C378" s="2" t="s">
        <v>14</v>
      </c>
      <c r="D378" s="2" t="s">
        <v>38</v>
      </c>
      <c r="E378" s="7" t="s">
        <v>16</v>
      </c>
      <c r="F378" s="2" t="s">
        <v>17</v>
      </c>
      <c r="G378" s="2" t="s">
        <v>408</v>
      </c>
      <c r="H378" s="8">
        <v>0.24399999999999999</v>
      </c>
      <c r="I378" s="9">
        <v>1</v>
      </c>
      <c r="J378" s="8">
        <v>4.5</v>
      </c>
      <c r="K378" s="8">
        <v>27.4</v>
      </c>
      <c r="L378" s="8">
        <v>0.7</v>
      </c>
      <c r="M378" s="8"/>
    </row>
    <row r="379" spans="1:13" ht="17.25" customHeight="1" x14ac:dyDescent="0.2">
      <c r="A379" s="2" t="s">
        <v>765</v>
      </c>
      <c r="B379" s="2" t="s">
        <v>397</v>
      </c>
      <c r="C379" s="2" t="s">
        <v>586</v>
      </c>
      <c r="D379" s="2"/>
      <c r="E379" s="2" t="s">
        <v>26</v>
      </c>
      <c r="F379" s="2" t="s">
        <v>54</v>
      </c>
      <c r="G379" s="2" t="s">
        <v>47</v>
      </c>
      <c r="H379" s="8">
        <f>1.5+2.6</f>
        <v>4.0999999999999996</v>
      </c>
      <c r="I379" s="8">
        <f>(2.39*1.5+1.92*2.6)/$H379</f>
        <v>2.0919512195121954</v>
      </c>
      <c r="J379" s="8">
        <f>(5.99*1.5+4.42*2.6)/$H379</f>
        <v>4.9943902439024397</v>
      </c>
      <c r="K379" s="10">
        <f>(262*1.5+169*2.6)/$H379</f>
        <v>203.02439024390247</v>
      </c>
      <c r="L379" s="8"/>
      <c r="M379" s="10">
        <f>(0.7*1.5+0.5*2.6)/$H379</f>
        <v>0.57317073170731703</v>
      </c>
    </row>
    <row r="380" spans="1:13" ht="17.25" customHeight="1" x14ac:dyDescent="0.2">
      <c r="A380" s="2" t="s">
        <v>766</v>
      </c>
      <c r="B380" s="2" t="s">
        <v>397</v>
      </c>
      <c r="C380" s="2" t="s">
        <v>14</v>
      </c>
      <c r="D380" s="2"/>
      <c r="E380" s="7" t="s">
        <v>16</v>
      </c>
      <c r="F380" s="2" t="s">
        <v>17</v>
      </c>
      <c r="G380" s="2" t="s">
        <v>767</v>
      </c>
      <c r="H380" s="8">
        <v>4.3</v>
      </c>
      <c r="I380" s="8">
        <v>3.8</v>
      </c>
      <c r="J380" s="8">
        <v>4.7</v>
      </c>
      <c r="K380" s="9">
        <v>42</v>
      </c>
      <c r="L380" s="8">
        <v>0.27</v>
      </c>
      <c r="M380" s="8">
        <v>0.7</v>
      </c>
    </row>
    <row r="381" spans="1:13" ht="17.25" customHeight="1" x14ac:dyDescent="0.2">
      <c r="A381" s="2" t="s">
        <v>768</v>
      </c>
      <c r="B381" s="2" t="s">
        <v>397</v>
      </c>
      <c r="C381" s="2" t="s">
        <v>24</v>
      </c>
      <c r="D381" s="2"/>
      <c r="E381" s="7" t="s">
        <v>16</v>
      </c>
      <c r="F381" s="2" t="s">
        <v>769</v>
      </c>
      <c r="G381" s="2" t="s">
        <v>755</v>
      </c>
      <c r="H381" s="11">
        <f>3.377+0.488583</f>
        <v>3.865583</v>
      </c>
      <c r="I381" s="8">
        <f>(0.42*3.377+0.23*0.488583)/$H381</f>
        <v>0.39598531191802117</v>
      </c>
      <c r="J381" s="8">
        <f>(2.26*3.377+1.1*0.488583)/$H381</f>
        <v>2.1133840096047605</v>
      </c>
      <c r="K381" s="10">
        <f>(25.37*3.377+13.71*0.488583)/$H381</f>
        <v>23.896256510337505</v>
      </c>
      <c r="L381" s="8">
        <f>(0.29*3.377+0.67*0.488583)/$H381</f>
        <v>0.33802937616395767</v>
      </c>
      <c r="M381" s="8">
        <f>(0.41*3.377+0.1*0.488583)/$H381</f>
        <v>0.37081814049782397</v>
      </c>
    </row>
    <row r="382" spans="1:13" ht="17.25" customHeight="1" x14ac:dyDescent="0.2">
      <c r="A382" s="2" t="s">
        <v>770</v>
      </c>
      <c r="B382" s="2" t="s">
        <v>397</v>
      </c>
      <c r="C382" s="2" t="s">
        <v>24</v>
      </c>
      <c r="D382" s="2"/>
      <c r="E382" s="7" t="s">
        <v>16</v>
      </c>
      <c r="F382" s="2" t="s">
        <v>769</v>
      </c>
      <c r="G382" s="2" t="s">
        <v>755</v>
      </c>
      <c r="H382" s="8">
        <v>22.8</v>
      </c>
      <c r="I382" s="8">
        <v>0.64</v>
      </c>
      <c r="J382" s="8">
        <v>1.82</v>
      </c>
      <c r="K382" s="8">
        <v>32.229999999999997</v>
      </c>
      <c r="L382" s="8">
        <v>0.56000000000000005</v>
      </c>
      <c r="M382" s="8">
        <v>1.17</v>
      </c>
    </row>
    <row r="383" spans="1:13" ht="17.25" customHeight="1" x14ac:dyDescent="0.2">
      <c r="A383" s="2" t="s">
        <v>771</v>
      </c>
      <c r="B383" s="2" t="s">
        <v>397</v>
      </c>
      <c r="C383" s="2" t="s">
        <v>24</v>
      </c>
      <c r="D383" s="2"/>
      <c r="E383" s="7" t="s">
        <v>16</v>
      </c>
      <c r="F383" s="2" t="s">
        <v>769</v>
      </c>
      <c r="G383" s="2" t="s">
        <v>755</v>
      </c>
      <c r="H383" s="8">
        <v>0.13100000000000001</v>
      </c>
      <c r="I383" s="8">
        <v>2.69</v>
      </c>
      <c r="J383" s="8">
        <v>8.43</v>
      </c>
      <c r="K383" s="9">
        <v>101</v>
      </c>
      <c r="L383" s="8">
        <v>0.28000000000000003</v>
      </c>
      <c r="M383" s="8">
        <v>3.1</v>
      </c>
    </row>
    <row r="384" spans="1:13" ht="17.25" customHeight="1" x14ac:dyDescent="0.2">
      <c r="A384" s="2" t="s">
        <v>772</v>
      </c>
      <c r="B384" s="2" t="s">
        <v>397</v>
      </c>
      <c r="C384" s="2" t="s">
        <v>162</v>
      </c>
      <c r="D384" s="2"/>
      <c r="E384" s="2" t="s">
        <v>26</v>
      </c>
      <c r="F384" s="2" t="s">
        <v>773</v>
      </c>
      <c r="G384" s="2" t="s">
        <v>774</v>
      </c>
      <c r="H384" s="8">
        <f>1.87+2.66</f>
        <v>4.53</v>
      </c>
      <c r="I384" s="8">
        <f>(0.67*1.87+0.45*2.66)/$H384</f>
        <v>0.54081677704194264</v>
      </c>
      <c r="J384" s="8">
        <f>(1.13*1.87+0.76*2.66)/$H384</f>
        <v>0.91273730684326715</v>
      </c>
      <c r="K384" s="10">
        <f>(35.73*1.87+24.02*2.66)/$H384</f>
        <v>28.8539293598234</v>
      </c>
      <c r="L384" s="8">
        <f>(0.21*1.87+0.14*2.66)/$H384</f>
        <v>0.16889624724061811</v>
      </c>
      <c r="M384" s="8">
        <f>(1.25*1.87+0.85*2.66)/$H384</f>
        <v>1.015121412803532</v>
      </c>
    </row>
    <row r="385" spans="1:13" ht="17.25" customHeight="1" x14ac:dyDescent="0.2">
      <c r="A385" s="2" t="s">
        <v>775</v>
      </c>
      <c r="B385" s="2" t="s">
        <v>397</v>
      </c>
      <c r="C385" s="2" t="s">
        <v>132</v>
      </c>
      <c r="D385" s="2"/>
      <c r="E385" s="7" t="s">
        <v>16</v>
      </c>
      <c r="F385" s="2" t="s">
        <v>17</v>
      </c>
      <c r="G385" s="2" t="s">
        <v>468</v>
      </c>
      <c r="H385" s="11">
        <v>9.0718999999999994E-2</v>
      </c>
      <c r="I385" s="9">
        <v>6</v>
      </c>
      <c r="J385" s="9">
        <v>10</v>
      </c>
      <c r="K385" s="8">
        <v>687.5</v>
      </c>
      <c r="L385" s="8"/>
      <c r="M385" s="8"/>
    </row>
    <row r="386" spans="1:13" ht="17.25" customHeight="1" x14ac:dyDescent="0.2">
      <c r="A386" s="2" t="s">
        <v>776</v>
      </c>
      <c r="B386" s="2" t="s">
        <v>397</v>
      </c>
      <c r="C386" s="2" t="s">
        <v>24</v>
      </c>
      <c r="D386" s="2"/>
      <c r="E386" s="2" t="s">
        <v>26</v>
      </c>
      <c r="F386" s="2" t="s">
        <v>777</v>
      </c>
      <c r="G386" s="2" t="s">
        <v>778</v>
      </c>
      <c r="H386" s="8">
        <f>0.64+0.424</f>
        <v>1.0640000000000001</v>
      </c>
      <c r="I386" s="8">
        <f>(2.51*0.64+2.26*0.424)/$H386</f>
        <v>2.4103759398496236</v>
      </c>
      <c r="J386" s="8">
        <f>(3.51*0.64+3.2*0.424)/$H386</f>
        <v>3.386466165413534</v>
      </c>
      <c r="K386" s="12">
        <f>(187*0.64+176*0.424)/$H386</f>
        <v>182.61654135338344</v>
      </c>
      <c r="L386" s="8">
        <f>(0.14*0.64+0.14*0.424)/$H386</f>
        <v>0.14000000000000001</v>
      </c>
      <c r="M386" s="8">
        <f>(0.88*0.64+0.98*0.424)/$H386</f>
        <v>0.91984962406015036</v>
      </c>
    </row>
    <row r="387" spans="1:13" ht="17.25" customHeight="1" x14ac:dyDescent="0.2">
      <c r="A387" s="2" t="s">
        <v>779</v>
      </c>
      <c r="B387" s="2" t="s">
        <v>397</v>
      </c>
      <c r="C387" s="2" t="s">
        <v>14</v>
      </c>
      <c r="D387" s="2" t="s">
        <v>38</v>
      </c>
      <c r="E387" s="2" t="s">
        <v>26</v>
      </c>
      <c r="F387" s="2" t="s">
        <v>562</v>
      </c>
      <c r="G387" s="2" t="s">
        <v>583</v>
      </c>
      <c r="H387" s="8">
        <f>4.98+13.55</f>
        <v>18.53</v>
      </c>
      <c r="I387" s="8">
        <f>(4.36*4.98+3.1*13.55)/$H387</f>
        <v>3.4386292498650839</v>
      </c>
      <c r="J387" s="8">
        <f>(6.64*4.98+6.68*13.55)/$H387</f>
        <v>6.6692498650836471</v>
      </c>
      <c r="K387" s="8">
        <f>(4.36*4.98+3.1*13.55)/$H387</f>
        <v>3.4386292498650839</v>
      </c>
      <c r="L387" s="8"/>
      <c r="M387" s="8"/>
    </row>
    <row r="388" spans="1:13" ht="17.25" customHeight="1" x14ac:dyDescent="0.2">
      <c r="A388" s="2" t="s">
        <v>780</v>
      </c>
      <c r="B388" s="2" t="s">
        <v>397</v>
      </c>
      <c r="C388" s="2" t="s">
        <v>14</v>
      </c>
      <c r="D388" s="2" t="s">
        <v>781</v>
      </c>
      <c r="E388" s="2" t="s">
        <v>26</v>
      </c>
      <c r="F388" s="2" t="s">
        <v>782</v>
      </c>
      <c r="G388" s="2" t="s">
        <v>399</v>
      </c>
      <c r="H388" s="8">
        <f>0.55+0.548+0.099</f>
        <v>1.1970000000000001</v>
      </c>
      <c r="I388" s="8"/>
      <c r="J388" s="8">
        <f>(4.23*0.55+3.09*0.548+1.23*0.099)/$H388</f>
        <v>3.4599749373433579</v>
      </c>
      <c r="K388" s="10">
        <f>(59.99*0.55+36.19*0.548+12.45*0.099)/$H388</f>
        <v>45.162213868003349</v>
      </c>
      <c r="L388" s="8">
        <f>(2.3*0.55+1.18*0.548+1.19*0.099)/$H388</f>
        <v>1.6954469507101082</v>
      </c>
      <c r="M388" s="8">
        <f>(0.43*0.55+0.25*0.548+0*0.099)/$H388</f>
        <v>0.31203007518796994</v>
      </c>
    </row>
    <row r="389" spans="1:13" ht="17.25" customHeight="1" x14ac:dyDescent="0.2">
      <c r="A389" s="2" t="s">
        <v>783</v>
      </c>
      <c r="B389" s="2" t="s">
        <v>397</v>
      </c>
      <c r="C389" s="2" t="s">
        <v>30</v>
      </c>
      <c r="D389" s="2"/>
      <c r="E389" s="2" t="s">
        <v>26</v>
      </c>
      <c r="F389" s="2" t="s">
        <v>784</v>
      </c>
      <c r="G389" s="2" t="s">
        <v>698</v>
      </c>
      <c r="H389" s="11">
        <f>0.075+0.235</f>
        <v>0.31</v>
      </c>
      <c r="I389" s="8">
        <f>(2.48*0.075+1.93*0.235)/$H389</f>
        <v>2.0630645161290322</v>
      </c>
      <c r="J389" s="8">
        <f>(2.84*0.075+3.09*0.235)/$H389</f>
        <v>3.0295161290322579</v>
      </c>
      <c r="K389" s="10">
        <f>(457.4*0.075+544.2*0.235)/$H389</f>
        <v>523.20000000000005</v>
      </c>
      <c r="L389" s="8"/>
      <c r="M389" s="8"/>
    </row>
    <row r="390" spans="1:13" ht="17.25" customHeight="1" x14ac:dyDescent="0.2">
      <c r="A390" s="2" t="s">
        <v>785</v>
      </c>
      <c r="B390" s="2" t="s">
        <v>397</v>
      </c>
      <c r="C390" s="2" t="s">
        <v>24</v>
      </c>
      <c r="D390" s="2"/>
      <c r="E390" s="7" t="s">
        <v>16</v>
      </c>
      <c r="F390" s="2" t="s">
        <v>17</v>
      </c>
      <c r="G390" s="2" t="s">
        <v>408</v>
      </c>
      <c r="H390" s="11">
        <f>0.099802+0.025887+0.100616+0.029573+0.009453+0.037191+0.025398+0.023584+0.064846</f>
        <v>0.41634999999999994</v>
      </c>
      <c r="I390" s="10">
        <f>(8.75*0.099802+4.58*0.025887+5.61*0.100616+8.41*0.029573+16.06*0.009453+1.7*0.037191+6.19*0.025398+8.71*0.023584+1.09*0.064846)/$H390</f>
        <v>5.892510940314641</v>
      </c>
      <c r="J390" s="8">
        <f>(3.7*0.099802+4.78*0.025887+2.88*0.100616+16.51*0.029573+14.91*0.009453+1.5*0.037191+6.34*0.025398+2.24*0.023584+9.49*0.064846)/$H390</f>
        <v>5.5169984868500066</v>
      </c>
      <c r="K390" s="10">
        <f>(416.5*0.099802+234.8*0.025887+195*0.100616+216.3*0.029573+504.2*0.009453+229.67*0.037191+254.7*0.025398+287.2*0.023584+41.1*0.064846)/$H390</f>
        <v>247.09447837156242</v>
      </c>
      <c r="L390" s="8"/>
      <c r="M390" s="8">
        <f>(0.3*0.099802+0.1*0.025887+0.89*0.100616+1.2*0.029573+1.1*0.009453+2.74*0.037191+4.4*0.025398+0.13*0.023584+0.17*0.064846)/$H390</f>
        <v>0.95042084784436176</v>
      </c>
    </row>
    <row r="391" spans="1:13" ht="17.25" customHeight="1" x14ac:dyDescent="0.2">
      <c r="A391" s="2" t="s">
        <v>786</v>
      </c>
      <c r="B391" s="2" t="s">
        <v>397</v>
      </c>
      <c r="C391" s="2" t="s">
        <v>24</v>
      </c>
      <c r="D391" s="2"/>
      <c r="E391" s="2" t="s">
        <v>26</v>
      </c>
      <c r="F391" s="2" t="s">
        <v>427</v>
      </c>
      <c r="G391" s="2" t="s">
        <v>47</v>
      </c>
      <c r="H391" s="8">
        <f>6.762+0.204</f>
        <v>6.9659999999999993</v>
      </c>
      <c r="I391" s="8">
        <f>(1.1*6.762+0.76*0.204)/$H391</f>
        <v>1.0900430663221361</v>
      </c>
      <c r="J391" s="8">
        <f>(5.89*6.762+4.02*0.204)/$H391</f>
        <v>5.8352368647717485</v>
      </c>
      <c r="K391" s="12">
        <f>(85*6.762+62*0.204)/$H391</f>
        <v>84.326442721791565</v>
      </c>
      <c r="L391" s="8">
        <f>(1.19*6.762+0.67*0.204)/$H391</f>
        <v>1.1747717484926785</v>
      </c>
      <c r="M391" s="8">
        <f>(2.4*6.762+1.18*0.204)/$H391</f>
        <v>2.3642721791559</v>
      </c>
    </row>
    <row r="392" spans="1:13" ht="17.25" customHeight="1" x14ac:dyDescent="0.2">
      <c r="A392" s="2" t="s">
        <v>787</v>
      </c>
      <c r="B392" s="2" t="s">
        <v>397</v>
      </c>
      <c r="C392" s="2" t="s">
        <v>14</v>
      </c>
      <c r="D392" s="2" t="s">
        <v>15</v>
      </c>
      <c r="E392" s="7" t="s">
        <v>16</v>
      </c>
      <c r="F392" s="2" t="s">
        <v>17</v>
      </c>
      <c r="G392" s="2" t="s">
        <v>512</v>
      </c>
      <c r="H392" s="8">
        <v>1.3095300000000001</v>
      </c>
      <c r="I392" s="8">
        <v>0.59</v>
      </c>
      <c r="J392" s="8">
        <v>1.94</v>
      </c>
      <c r="K392" s="8">
        <v>13.5</v>
      </c>
      <c r="L392" s="8">
        <v>0.15</v>
      </c>
      <c r="M392" s="8"/>
    </row>
    <row r="393" spans="1:13" ht="17.25" customHeight="1" x14ac:dyDescent="0.2">
      <c r="A393" s="2" t="s">
        <v>788</v>
      </c>
      <c r="B393" s="2" t="s">
        <v>397</v>
      </c>
      <c r="C393" s="2" t="s">
        <v>789</v>
      </c>
      <c r="D393" s="2" t="s">
        <v>790</v>
      </c>
      <c r="E393" s="7" t="s">
        <v>16</v>
      </c>
      <c r="F393" s="2" t="s">
        <v>535</v>
      </c>
      <c r="G393" s="2" t="s">
        <v>468</v>
      </c>
      <c r="H393" s="11">
        <v>1.9958E-2</v>
      </c>
      <c r="I393" s="8">
        <v>26.7</v>
      </c>
      <c r="J393" s="8">
        <v>7.3</v>
      </c>
      <c r="K393" s="9">
        <v>1027.4000000000001</v>
      </c>
      <c r="L393" s="8"/>
      <c r="M393" s="8"/>
    </row>
    <row r="394" spans="1:13" ht="17.25" customHeight="1" x14ac:dyDescent="0.2">
      <c r="A394" s="2" t="s">
        <v>791</v>
      </c>
      <c r="B394" s="2" t="s">
        <v>397</v>
      </c>
      <c r="C394" s="2" t="s">
        <v>14</v>
      </c>
      <c r="D394" s="2" t="s">
        <v>38</v>
      </c>
      <c r="E394" s="7" t="s">
        <v>16</v>
      </c>
      <c r="F394" s="2" t="s">
        <v>17</v>
      </c>
      <c r="G394" s="2" t="s">
        <v>468</v>
      </c>
      <c r="H394" s="8">
        <v>7.1</v>
      </c>
      <c r="I394" s="8">
        <v>3.4</v>
      </c>
      <c r="J394" s="8">
        <v>4.3</v>
      </c>
      <c r="K394" s="9">
        <v>48</v>
      </c>
      <c r="L394" s="8"/>
      <c r="M394" s="8">
        <v>0.75</v>
      </c>
    </row>
    <row r="395" spans="1:13" ht="17.25" customHeight="1" x14ac:dyDescent="0.2">
      <c r="A395" s="2" t="s">
        <v>792</v>
      </c>
      <c r="B395" s="2" t="s">
        <v>397</v>
      </c>
      <c r="C395" s="2" t="s">
        <v>24</v>
      </c>
      <c r="D395" s="2"/>
      <c r="E395" s="2" t="s">
        <v>26</v>
      </c>
      <c r="F395" s="2" t="s">
        <v>404</v>
      </c>
      <c r="G395" s="2" t="s">
        <v>376</v>
      </c>
      <c r="H395" s="11">
        <f>0.559506+0.116048</f>
        <v>0.67555399999999999</v>
      </c>
      <c r="I395" s="8"/>
      <c r="J395" s="8">
        <f>(8.11*0.559506+4.55*0.116048)/$H395</f>
        <v>7.4984561707872333</v>
      </c>
      <c r="K395" s="10">
        <f>(62.18*0.559506+40.78*0.116048)/$H395</f>
        <v>58.503865745743482</v>
      </c>
      <c r="L395" s="8">
        <f>(0.52*0.559506+0.49*0.116048)/$H395</f>
        <v>0.51484654076506098</v>
      </c>
      <c r="M395" s="8">
        <f>(1.18*0.559506+0.73*0.116048)/$H395</f>
        <v>1.1026981114759145</v>
      </c>
    </row>
    <row r="396" spans="1:13" ht="17.25" customHeight="1" x14ac:dyDescent="0.2">
      <c r="A396" s="2" t="s">
        <v>793</v>
      </c>
      <c r="B396" s="2" t="s">
        <v>397</v>
      </c>
      <c r="C396" s="2" t="s">
        <v>30</v>
      </c>
      <c r="D396" s="2"/>
      <c r="E396" s="7" t="s">
        <v>16</v>
      </c>
      <c r="F396" s="2" t="s">
        <v>535</v>
      </c>
      <c r="G396" s="2" t="s">
        <v>468</v>
      </c>
      <c r="H396" s="11">
        <v>0.352659</v>
      </c>
      <c r="I396" s="8">
        <v>3.18</v>
      </c>
      <c r="J396" s="8">
        <v>3.47</v>
      </c>
      <c r="K396" s="10">
        <v>606.16</v>
      </c>
      <c r="L396" s="8"/>
      <c r="M396" s="8"/>
    </row>
    <row r="397" spans="1:13" ht="17.25" customHeight="1" x14ac:dyDescent="0.2">
      <c r="A397" s="2" t="s">
        <v>794</v>
      </c>
      <c r="B397" s="2" t="s">
        <v>397</v>
      </c>
      <c r="C397" s="2" t="s">
        <v>14</v>
      </c>
      <c r="D397" s="2" t="s">
        <v>38</v>
      </c>
      <c r="E397" s="2" t="s">
        <v>26</v>
      </c>
      <c r="F397" s="2" t="s">
        <v>39</v>
      </c>
      <c r="G397" s="2" t="s">
        <v>40</v>
      </c>
      <c r="H397" s="8">
        <f>2.8+0.4</f>
        <v>3.1999999999999997</v>
      </c>
      <c r="I397" s="8">
        <f>(1.16*2.8+1.3*0.4)/$H397</f>
        <v>1.1775</v>
      </c>
      <c r="J397" s="8">
        <f>(4.22*2.8+5.3*0.4)/$H397</f>
        <v>4.3550000000000004</v>
      </c>
      <c r="K397" s="10">
        <f>(52.6*2.8+56*0.4)/$H397</f>
        <v>53.025000000000006</v>
      </c>
      <c r="L397" s="8">
        <f>(1.34*2.8+1.1*0.4)/$H397</f>
        <v>1.31</v>
      </c>
      <c r="M397" s="8">
        <f>(0.91*2.8+1.1*0.4)/$H397</f>
        <v>0.93375000000000008</v>
      </c>
    </row>
    <row r="398" spans="1:13" ht="17.25" customHeight="1" x14ac:dyDescent="0.2">
      <c r="A398" s="2" t="s">
        <v>795</v>
      </c>
      <c r="B398" s="2" t="s">
        <v>397</v>
      </c>
      <c r="C398" s="2" t="s">
        <v>30</v>
      </c>
      <c r="D398" s="2"/>
      <c r="E398" s="7" t="s">
        <v>16</v>
      </c>
      <c r="F398" s="2" t="s">
        <v>796</v>
      </c>
      <c r="G398" s="2" t="s">
        <v>583</v>
      </c>
      <c r="H398" s="8">
        <v>1.3</v>
      </c>
      <c r="I398" s="8">
        <v>3.12</v>
      </c>
      <c r="J398" s="8">
        <v>3.12</v>
      </c>
      <c r="K398" s="8">
        <v>36.299999999999997</v>
      </c>
      <c r="L398" s="8">
        <v>0.11</v>
      </c>
      <c r="M398" s="8">
        <v>2.2000000000000002</v>
      </c>
    </row>
    <row r="399" spans="1:13" ht="17.25" customHeight="1" x14ac:dyDescent="0.2">
      <c r="A399" s="2" t="s">
        <v>797</v>
      </c>
      <c r="B399" s="2" t="s">
        <v>397</v>
      </c>
      <c r="C399" s="2" t="s">
        <v>30</v>
      </c>
      <c r="D399" s="2"/>
      <c r="E399" s="7" t="s">
        <v>16</v>
      </c>
      <c r="F399" s="2" t="s">
        <v>17</v>
      </c>
      <c r="G399" s="2" t="s">
        <v>408</v>
      </c>
      <c r="H399" s="8">
        <v>0.02</v>
      </c>
      <c r="I399" s="8">
        <v>4.4000000000000004</v>
      </c>
      <c r="J399" s="8">
        <v>2.2000000000000002</v>
      </c>
      <c r="K399" s="9">
        <v>2948.4</v>
      </c>
      <c r="L399" s="8"/>
      <c r="M399" s="8">
        <v>1.19</v>
      </c>
    </row>
    <row r="400" spans="1:13" ht="17.25" customHeight="1" x14ac:dyDescent="0.2">
      <c r="A400" s="2" t="s">
        <v>798</v>
      </c>
      <c r="B400" s="2" t="s">
        <v>397</v>
      </c>
      <c r="C400" s="2" t="s">
        <v>14</v>
      </c>
      <c r="D400" s="2" t="s">
        <v>38</v>
      </c>
      <c r="E400" s="7" t="s">
        <v>16</v>
      </c>
      <c r="F400" s="2" t="s">
        <v>17</v>
      </c>
      <c r="G400" s="2" t="s">
        <v>799</v>
      </c>
      <c r="H400" s="11">
        <v>0.5</v>
      </c>
      <c r="I400" s="8">
        <v>2.7</v>
      </c>
      <c r="J400" s="8">
        <v>3.5</v>
      </c>
      <c r="K400" s="9"/>
      <c r="L400" s="8"/>
      <c r="M400" s="8"/>
    </row>
    <row r="401" spans="1:13" ht="17.25" customHeight="1" x14ac:dyDescent="0.2">
      <c r="A401" s="2" t="s">
        <v>800</v>
      </c>
      <c r="B401" s="2" t="s">
        <v>397</v>
      </c>
      <c r="C401" s="2" t="s">
        <v>24</v>
      </c>
      <c r="D401" s="2"/>
      <c r="E401" s="7" t="s">
        <v>16</v>
      </c>
      <c r="F401" s="2" t="s">
        <v>801</v>
      </c>
      <c r="G401" s="2" t="s">
        <v>583</v>
      </c>
      <c r="H401" s="8">
        <f>0.53+0.6</f>
        <v>1.1299999999999999</v>
      </c>
      <c r="I401" s="8"/>
      <c r="J401" s="10">
        <f>(0.4*0.53+0.2*0.6)/$H401</f>
        <v>0.2938053097345133</v>
      </c>
      <c r="K401" s="10">
        <f>(9.2*0.53+30*0.6)/$H401</f>
        <v>20.244247787610618</v>
      </c>
      <c r="L401" s="10">
        <f>(3.4*0.53+3.3*0.6)/$H401</f>
        <v>3.3469026548672569</v>
      </c>
      <c r="M401" s="10">
        <f>(1.4*0.53+0.3*0.6)/$H401</f>
        <v>0.81592920353982301</v>
      </c>
    </row>
    <row r="402" spans="1:13" ht="17.25" customHeight="1" x14ac:dyDescent="0.2">
      <c r="A402" s="2" t="s">
        <v>802</v>
      </c>
      <c r="B402" s="2" t="s">
        <v>397</v>
      </c>
      <c r="C402" s="2" t="s">
        <v>24</v>
      </c>
      <c r="D402" s="2"/>
      <c r="E402" s="2" t="s">
        <v>26</v>
      </c>
      <c r="F402" s="2" t="s">
        <v>570</v>
      </c>
      <c r="G402" s="2" t="s">
        <v>571</v>
      </c>
      <c r="H402" s="8">
        <f>2.777+0.446</f>
        <v>3.2230000000000003</v>
      </c>
      <c r="I402" s="8"/>
      <c r="J402" s="8">
        <f>(0.3*2.777+0.43*0.446)/$H402</f>
        <v>0.3179894508222153</v>
      </c>
      <c r="K402" s="8">
        <f>(7.53*2.777+5.06*0.446)/$H402</f>
        <v>7.1882004343779089</v>
      </c>
      <c r="L402" s="8">
        <f>(1.94*2.777+1.12*0.446)/$H402</f>
        <v>1.8265280794291034</v>
      </c>
      <c r="M402" s="8">
        <f>(1.88*2.777+2.11*0.446)/$H402</f>
        <v>1.9118274899162271</v>
      </c>
    </row>
    <row r="403" spans="1:13" ht="17.25" customHeight="1" x14ac:dyDescent="0.2">
      <c r="A403" s="2" t="s">
        <v>803</v>
      </c>
      <c r="B403" s="2" t="s">
        <v>397</v>
      </c>
      <c r="C403" s="2" t="s">
        <v>24</v>
      </c>
      <c r="D403" s="2"/>
      <c r="E403" s="7" t="s">
        <v>16</v>
      </c>
      <c r="F403" s="2" t="s">
        <v>508</v>
      </c>
      <c r="G403" s="2" t="s">
        <v>468</v>
      </c>
      <c r="H403" s="8">
        <v>4.0999999999999996</v>
      </c>
      <c r="I403" s="8">
        <v>1.8</v>
      </c>
      <c r="J403" s="8">
        <v>6.2</v>
      </c>
      <c r="K403" s="9">
        <v>84</v>
      </c>
      <c r="L403" s="8"/>
      <c r="M403" s="8"/>
    </row>
    <row r="404" spans="1:13" ht="17.25" customHeight="1" x14ac:dyDescent="0.2">
      <c r="A404" s="2" t="s">
        <v>804</v>
      </c>
      <c r="B404" s="2" t="s">
        <v>397</v>
      </c>
      <c r="C404" s="2" t="s">
        <v>24</v>
      </c>
      <c r="D404" s="2"/>
      <c r="E404" s="2" t="s">
        <v>26</v>
      </c>
      <c r="F404" s="2" t="s">
        <v>637</v>
      </c>
      <c r="G404" s="2" t="s">
        <v>805</v>
      </c>
      <c r="H404" s="8">
        <f>0.493+3.968+1.693</f>
        <v>6.1539999999999999</v>
      </c>
      <c r="I404" s="8">
        <f>(1.48*0.493+1.58*3.968+1.74*1.693)/$H404</f>
        <v>1.6160058498537537</v>
      </c>
      <c r="J404" s="8">
        <f>(12.44*0.493+12.1*3.968+12.16*1.693)/$H404</f>
        <v>12.143743906402339</v>
      </c>
      <c r="K404" s="10">
        <f>(298.8*0.493+361.8*3.968+385.4*1.693)/$H404</f>
        <v>363.24553136171596</v>
      </c>
      <c r="L404" s="8">
        <f>(1.18*0.493+1.16*3.968+1.23*1.693)/$H404</f>
        <v>1.1808596035099124</v>
      </c>
      <c r="M404" s="8">
        <f>(1.5*0.493+1.72*3.968+1.71*1.693)/$H404</f>
        <v>1.6996246343841406</v>
      </c>
    </row>
    <row r="405" spans="1:13" ht="17.25" customHeight="1" x14ac:dyDescent="0.2">
      <c r="A405" s="2" t="s">
        <v>806</v>
      </c>
      <c r="B405" s="2" t="s">
        <v>397</v>
      </c>
      <c r="C405" s="2" t="s">
        <v>14</v>
      </c>
      <c r="D405" s="2" t="s">
        <v>15</v>
      </c>
      <c r="E405" s="2" t="s">
        <v>26</v>
      </c>
      <c r="F405" s="2" t="s">
        <v>807</v>
      </c>
      <c r="G405" s="2" t="s">
        <v>698</v>
      </c>
      <c r="H405" s="8">
        <f>0.495+0.667+0.394+2.442+4.408+2.208+0.21</f>
        <v>10.824000000000002</v>
      </c>
      <c r="I405" s="8">
        <f>(1.24*0.495+1.26*0.667+1.2*0.394+1.32*2.442+1.14*4.408+1.07*2.208+0.36*0.21)/$H405</f>
        <v>1.1653492239467846</v>
      </c>
      <c r="J405" s="8">
        <f>(7.47*0.495+3.22*0.667+3.43*0.394+7.2*2.442+3.01*4.408+2.76*2.208+3.72*0.21)/$H405</f>
        <v>4.1502743902439017</v>
      </c>
      <c r="K405" s="10">
        <f>(8.2*0.495+9.81*0.667+4.63*0.394+8.07*2.442+9.04*4.408+4.16*2.208+2.89*0.21)/$H405</f>
        <v>7.554871581670362</v>
      </c>
      <c r="L405" s="8"/>
      <c r="M405" s="8"/>
    </row>
    <row r="406" spans="1:13" ht="17.25" customHeight="1" x14ac:dyDescent="0.2">
      <c r="A406" s="2" t="s">
        <v>808</v>
      </c>
      <c r="B406" s="2" t="s">
        <v>397</v>
      </c>
      <c r="C406" s="2" t="s">
        <v>586</v>
      </c>
      <c r="D406" s="2"/>
      <c r="E406" s="7" t="s">
        <v>16</v>
      </c>
      <c r="F406" s="2" t="s">
        <v>809</v>
      </c>
      <c r="G406" s="2" t="s">
        <v>702</v>
      </c>
      <c r="H406" s="8">
        <v>1.3</v>
      </c>
      <c r="I406" s="8">
        <v>1.6</v>
      </c>
      <c r="J406" s="8">
        <v>4.96</v>
      </c>
      <c r="K406" s="12">
        <f>3.42*31.1/0.9072</f>
        <v>117.24206349206351</v>
      </c>
      <c r="L406" s="8">
        <v>1.03</v>
      </c>
      <c r="M406" s="8">
        <f>0.008*31.1/0.9072</f>
        <v>0.2742504409171076</v>
      </c>
    </row>
    <row r="407" spans="1:13" ht="17.25" customHeight="1" x14ac:dyDescent="0.2">
      <c r="A407" s="2" t="s">
        <v>810</v>
      </c>
      <c r="B407" s="2" t="s">
        <v>811</v>
      </c>
      <c r="C407" s="2" t="s">
        <v>30</v>
      </c>
      <c r="D407" s="2" t="s">
        <v>49</v>
      </c>
      <c r="E407" s="2" t="s">
        <v>26</v>
      </c>
      <c r="F407" s="2" t="s">
        <v>812</v>
      </c>
      <c r="G407" s="2" t="s">
        <v>813</v>
      </c>
      <c r="H407" s="8">
        <f>5.5+0.15+0.45+0.37</f>
        <v>6.4700000000000006</v>
      </c>
      <c r="I407" s="8"/>
      <c r="J407" s="8">
        <f>(0.21*5.5+0.51*0.15+0.13*0.45+0.34*0.37)/$H407</f>
        <v>0.21882534775888715</v>
      </c>
      <c r="K407" s="12">
        <f>(99*5.5+188*0.15+61*0.45+180*0.37)/$H407</f>
        <v>103.05255023183926</v>
      </c>
      <c r="L407" s="8"/>
      <c r="M407" s="8">
        <f>(0.13*5.5+0.21*0.15+0.07*0.45+0.19*0.37)/$H407</f>
        <v>0.131112828438949</v>
      </c>
    </row>
    <row r="408" spans="1:13" ht="17.25" customHeight="1" x14ac:dyDescent="0.2">
      <c r="A408" s="2" t="s">
        <v>814</v>
      </c>
      <c r="B408" s="2" t="s">
        <v>811</v>
      </c>
      <c r="C408" s="2" t="s">
        <v>815</v>
      </c>
      <c r="D408" s="2" t="s">
        <v>816</v>
      </c>
      <c r="E408" s="2" t="s">
        <v>26</v>
      </c>
      <c r="F408" s="2" t="s">
        <v>625</v>
      </c>
      <c r="G408" s="2" t="s">
        <v>40</v>
      </c>
      <c r="H408" s="8">
        <f>1.99+5.52+3.69</f>
        <v>11.2</v>
      </c>
      <c r="I408" s="8">
        <f>(0.28*1.99+0.38*5.52+0.41*3.69)/$H408</f>
        <v>0.37211607142857145</v>
      </c>
      <c r="J408" s="8">
        <f>(6.64*1.99+5.51*5.52+4.26*3.69)/$H408</f>
        <v>5.2989464285714289</v>
      </c>
      <c r="K408" s="10">
        <f>(12.32*1.99+11.62*5.52+17.38*3.69)/$H408</f>
        <v>13.642089285714288</v>
      </c>
      <c r="L408" s="8"/>
      <c r="M408" s="8">
        <f>(2.45*1.99+0.98*5.52+0.74*3.69)/$H408</f>
        <v>1.1621160714285714</v>
      </c>
    </row>
    <row r="409" spans="1:13" ht="17.25" customHeight="1" x14ac:dyDescent="0.2">
      <c r="A409" s="2" t="s">
        <v>817</v>
      </c>
      <c r="B409" s="2" t="s">
        <v>811</v>
      </c>
      <c r="C409" s="2" t="s">
        <v>30</v>
      </c>
      <c r="D409" s="2" t="s">
        <v>53</v>
      </c>
      <c r="E409" s="2" t="s">
        <v>26</v>
      </c>
      <c r="F409" s="2" t="s">
        <v>818</v>
      </c>
      <c r="G409" s="2" t="s">
        <v>82</v>
      </c>
      <c r="H409" s="8">
        <f>1.905+2.48+5.008</f>
        <v>9.3930000000000007</v>
      </c>
      <c r="I409" s="8"/>
      <c r="J409" s="8">
        <f>(1.63*1.905+1.74*2.48+1.62*5.008)/$H409</f>
        <v>1.6537112743532416</v>
      </c>
      <c r="K409" s="10">
        <f>(38.6*1.905+26.2*2.48+37.4*5.008)/$H409</f>
        <v>34.68627701479825</v>
      </c>
      <c r="L409" s="8"/>
      <c r="M409" s="8">
        <f>(5.97*1.905+4.92*2.48+5.63*5.008)/$H409</f>
        <v>5.5114968593633549</v>
      </c>
    </row>
    <row r="410" spans="1:13" ht="17.25" customHeight="1" x14ac:dyDescent="0.2">
      <c r="A410" s="2" t="s">
        <v>819</v>
      </c>
      <c r="B410" s="2" t="s">
        <v>811</v>
      </c>
      <c r="C410" s="2" t="s">
        <v>30</v>
      </c>
      <c r="D410" s="2" t="s">
        <v>49</v>
      </c>
      <c r="E410" s="2" t="s">
        <v>26</v>
      </c>
      <c r="F410" s="2" t="s">
        <v>820</v>
      </c>
      <c r="G410" s="2" t="s">
        <v>583</v>
      </c>
      <c r="H410" s="8">
        <f>4.53+1.07</f>
        <v>5.6000000000000005</v>
      </c>
      <c r="I410" s="10">
        <f>(1.3*4.53+2.4*1.07)/$H410</f>
        <v>1.5101785714285714</v>
      </c>
      <c r="J410" s="10">
        <f>(3.7*4.53+7.2*1.07)/$H410</f>
        <v>4.3687500000000004</v>
      </c>
      <c r="K410" s="12">
        <f>(83*4.53+136*1.07)/$H410</f>
        <v>93.126785714285703</v>
      </c>
      <c r="L410" s="8"/>
      <c r="M410" s="10">
        <f>(0.2*4.53+0.3*1.07)/$H410</f>
        <v>0.21910714285714286</v>
      </c>
    </row>
    <row r="411" spans="1:13" ht="17.25" customHeight="1" x14ac:dyDescent="0.2">
      <c r="A411" s="2" t="s">
        <v>821</v>
      </c>
      <c r="B411" s="2" t="s">
        <v>811</v>
      </c>
      <c r="C411" s="2" t="s">
        <v>42</v>
      </c>
      <c r="D411" s="2" t="s">
        <v>822</v>
      </c>
      <c r="E411" s="2" t="s">
        <v>26</v>
      </c>
      <c r="F411" s="2" t="s">
        <v>823</v>
      </c>
      <c r="G411" s="2" t="s">
        <v>824</v>
      </c>
      <c r="H411" s="11">
        <f>12.687399+15.203376</f>
        <v>27.890774999999998</v>
      </c>
      <c r="I411" s="8">
        <f>(0.25*12.687399+0.22*15.203376)/H411</f>
        <v>0.23364687678990637</v>
      </c>
      <c r="J411" s="8">
        <f>(0.85*12.687399+0.76*15.203376)/H411</f>
        <v>0.80094063036971919</v>
      </c>
      <c r="K411" s="8">
        <f>(8.34*12.687399+8.23*15.203376)/H411</f>
        <v>8.2800385482296566</v>
      </c>
      <c r="L411" s="8">
        <f>(0.07*12.687399+0.08*15.203376)/H411</f>
        <v>7.5451041070031227E-2</v>
      </c>
      <c r="M411" s="8">
        <f>(0.56*12.687399+0.51*15.203376)/H411</f>
        <v>0.53274479464984392</v>
      </c>
    </row>
    <row r="412" spans="1:13" ht="17.25" customHeight="1" x14ac:dyDescent="0.2">
      <c r="A412" s="2" t="s">
        <v>825</v>
      </c>
      <c r="B412" s="2" t="s">
        <v>826</v>
      </c>
      <c r="C412" s="2" t="s">
        <v>30</v>
      </c>
      <c r="D412" s="2"/>
      <c r="E412" s="7" t="s">
        <v>16</v>
      </c>
      <c r="F412" s="2" t="s">
        <v>827</v>
      </c>
      <c r="G412" s="2" t="s">
        <v>828</v>
      </c>
      <c r="H412" s="8">
        <v>11.4</v>
      </c>
      <c r="I412" s="8">
        <v>2.2999999999999998</v>
      </c>
      <c r="J412" s="8">
        <v>3.3</v>
      </c>
      <c r="K412" s="9"/>
      <c r="L412" s="8"/>
      <c r="M412" s="8"/>
    </row>
    <row r="413" spans="1:13" ht="17.25" customHeight="1" x14ac:dyDescent="0.2">
      <c r="A413" s="2" t="s">
        <v>829</v>
      </c>
      <c r="B413" s="2" t="s">
        <v>826</v>
      </c>
      <c r="C413" s="2" t="s">
        <v>132</v>
      </c>
      <c r="D413" s="2"/>
      <c r="E413" s="7" t="s">
        <v>16</v>
      </c>
      <c r="F413" s="2" t="s">
        <v>830</v>
      </c>
      <c r="G413" s="2" t="s">
        <v>831</v>
      </c>
      <c r="H413" s="8">
        <v>14.21</v>
      </c>
      <c r="I413" s="8">
        <v>1.97</v>
      </c>
      <c r="J413" s="8">
        <v>5.53</v>
      </c>
      <c r="K413" s="10">
        <f>464/14.21</f>
        <v>32.653061224489797</v>
      </c>
      <c r="L413" s="8"/>
      <c r="M413" s="8"/>
    </row>
    <row r="414" spans="1:13" ht="17.25" customHeight="1" x14ac:dyDescent="0.2">
      <c r="A414" s="2" t="s">
        <v>832</v>
      </c>
      <c r="B414" s="2" t="s">
        <v>826</v>
      </c>
      <c r="C414" s="2" t="s">
        <v>132</v>
      </c>
      <c r="D414" s="2"/>
      <c r="E414" s="7" t="s">
        <v>16</v>
      </c>
      <c r="F414" s="2" t="s">
        <v>833</v>
      </c>
      <c r="G414" s="2" t="s">
        <v>834</v>
      </c>
      <c r="H414" s="8">
        <v>77.099999999999994</v>
      </c>
      <c r="I414" s="8">
        <v>2.0099999999999998</v>
      </c>
      <c r="J414" s="8">
        <f>(1.38*38.4)/H414</f>
        <v>0.68731517509727624</v>
      </c>
      <c r="K414" s="12">
        <f>(44.82*172.8)/H414</f>
        <v>100.45260700389106</v>
      </c>
      <c r="L414" s="8"/>
      <c r="M414" s="8"/>
    </row>
    <row r="415" spans="1:13" ht="17.25" customHeight="1" x14ac:dyDescent="0.2">
      <c r="A415" s="2" t="s">
        <v>835</v>
      </c>
      <c r="B415" s="2" t="s">
        <v>826</v>
      </c>
      <c r="C415" s="2" t="s">
        <v>14</v>
      </c>
      <c r="D415" s="2" t="s">
        <v>15</v>
      </c>
      <c r="E415" s="2" t="s">
        <v>26</v>
      </c>
      <c r="F415" s="2" t="s">
        <v>836</v>
      </c>
      <c r="G415" s="2" t="s">
        <v>698</v>
      </c>
      <c r="H415" s="8">
        <f>19.85+12.27</f>
        <v>32.120000000000005</v>
      </c>
      <c r="I415" s="8">
        <f>(0.69*19.85+0.65*12.27)/$H415</f>
        <v>0.67471980074719795</v>
      </c>
      <c r="J415" s="8">
        <f>(1.56*19.85+2.18*12.27)/$H415</f>
        <v>1.7968430884184308</v>
      </c>
      <c r="K415" s="9"/>
      <c r="L415" s="8"/>
      <c r="M415" s="8"/>
    </row>
    <row r="416" spans="1:13" ht="17.25" customHeight="1" x14ac:dyDescent="0.2">
      <c r="A416" s="2" t="s">
        <v>837</v>
      </c>
      <c r="B416" s="2" t="s">
        <v>826</v>
      </c>
      <c r="C416" s="2" t="s">
        <v>132</v>
      </c>
      <c r="D416" s="2"/>
      <c r="E416" s="2" t="s">
        <v>26</v>
      </c>
      <c r="F416" s="2" t="s">
        <v>838</v>
      </c>
      <c r="G416" s="2" t="s">
        <v>82</v>
      </c>
      <c r="H416" s="8">
        <v>49.4</v>
      </c>
      <c r="I416" s="8">
        <v>0.4</v>
      </c>
      <c r="J416" s="8">
        <v>4.0999999999999996</v>
      </c>
      <c r="K416" s="8">
        <v>23.9</v>
      </c>
      <c r="L416" s="8"/>
      <c r="M416" s="8">
        <v>0.5</v>
      </c>
    </row>
    <row r="417" spans="1:13" ht="17.25" customHeight="1" x14ac:dyDescent="0.2">
      <c r="A417" s="2" t="s">
        <v>839</v>
      </c>
      <c r="B417" s="2" t="s">
        <v>826</v>
      </c>
      <c r="C417" s="2" t="s">
        <v>14</v>
      </c>
      <c r="D417" s="2" t="s">
        <v>38</v>
      </c>
      <c r="E417" s="7" t="s">
        <v>16</v>
      </c>
      <c r="F417" s="2" t="s">
        <v>840</v>
      </c>
      <c r="G417" s="2" t="s">
        <v>841</v>
      </c>
      <c r="H417" s="8">
        <v>13.5</v>
      </c>
      <c r="I417" s="9">
        <v>2</v>
      </c>
      <c r="J417" s="9">
        <v>11</v>
      </c>
      <c r="K417" s="9"/>
      <c r="L417" s="8"/>
      <c r="M417" s="8"/>
    </row>
    <row r="418" spans="1:13" ht="17.25" customHeight="1" x14ac:dyDescent="0.2">
      <c r="A418" s="2" t="s">
        <v>842</v>
      </c>
      <c r="B418" s="2" t="s">
        <v>826</v>
      </c>
      <c r="C418" s="2" t="s">
        <v>132</v>
      </c>
      <c r="D418" s="2"/>
      <c r="E418" s="2" t="s">
        <v>26</v>
      </c>
      <c r="F418" s="2" t="s">
        <v>843</v>
      </c>
      <c r="G418" s="2" t="s">
        <v>82</v>
      </c>
      <c r="H418" s="11">
        <f>226700/0.052/1000000</f>
        <v>4.3596153846153847</v>
      </c>
      <c r="I418" s="8">
        <v>2.69</v>
      </c>
      <c r="J418" s="8">
        <v>5.2</v>
      </c>
      <c r="K418" s="8">
        <v>54.16</v>
      </c>
      <c r="L418" s="8"/>
      <c r="M418" s="8"/>
    </row>
    <row r="419" spans="1:13" ht="17.25" customHeight="1" x14ac:dyDescent="0.2">
      <c r="A419" s="2" t="s">
        <v>844</v>
      </c>
      <c r="B419" s="2" t="s">
        <v>826</v>
      </c>
      <c r="C419" s="2" t="s">
        <v>30</v>
      </c>
      <c r="D419" s="2" t="s">
        <v>53</v>
      </c>
      <c r="E419" s="2" t="s">
        <v>26</v>
      </c>
      <c r="F419" s="2" t="s">
        <v>641</v>
      </c>
      <c r="G419" s="2" t="s">
        <v>47</v>
      </c>
      <c r="H419" s="11">
        <f>13.948+2.027+10.241+1.049</f>
        <v>27.265000000000001</v>
      </c>
      <c r="I419" s="8">
        <f>(0.2*13.948+0.2*2.027+0.26*10.241+0.37*1.049)/H419</f>
        <v>0.22907720520814231</v>
      </c>
      <c r="J419" s="8">
        <f>(0.56*13.948+0.61*2.027+0.72*10.241+0.86*1.049)/H419</f>
        <v>0.63535705116449659</v>
      </c>
      <c r="K419" s="12">
        <f>(188*13.948+142*2.027+171*10.241+212*1.049)/H419</f>
        <v>179.1181734824867</v>
      </c>
      <c r="L419" s="8"/>
      <c r="M419" s="8">
        <f>(0.17*13.948+0.4*2.027+0.26*10.241+0.29*1.049)/H419</f>
        <v>0.2255209976159912</v>
      </c>
    </row>
    <row r="420" spans="1:13" ht="17.25" customHeight="1" x14ac:dyDescent="0.2">
      <c r="A420" s="2" t="s">
        <v>845</v>
      </c>
      <c r="B420" s="2" t="s">
        <v>826</v>
      </c>
      <c r="C420" s="2" t="s">
        <v>132</v>
      </c>
      <c r="D420" s="2"/>
      <c r="E420" s="7" t="s">
        <v>16</v>
      </c>
      <c r="F420" s="2" t="s">
        <v>17</v>
      </c>
      <c r="G420" s="2" t="s">
        <v>846</v>
      </c>
      <c r="H420" s="8">
        <v>22.43</v>
      </c>
      <c r="I420" s="8">
        <v>3.6</v>
      </c>
      <c r="J420" s="8">
        <v>8</v>
      </c>
      <c r="K420" s="9"/>
      <c r="L420" s="8"/>
      <c r="M420" s="8"/>
    </row>
    <row r="421" spans="1:13" ht="17.25" customHeight="1" x14ac:dyDescent="0.2">
      <c r="A421" s="2" t="s">
        <v>847</v>
      </c>
      <c r="B421" s="2" t="s">
        <v>826</v>
      </c>
      <c r="C421" s="2" t="s">
        <v>14</v>
      </c>
      <c r="D421" s="2" t="s">
        <v>15</v>
      </c>
      <c r="E421" s="7" t="s">
        <v>16</v>
      </c>
      <c r="F421" s="2" t="s">
        <v>17</v>
      </c>
      <c r="G421" s="2" t="s">
        <v>20</v>
      </c>
      <c r="H421" s="9">
        <v>50</v>
      </c>
      <c r="I421" s="8"/>
      <c r="J421" s="8">
        <v>3.4</v>
      </c>
      <c r="K421" s="9"/>
      <c r="L421" s="8"/>
      <c r="M421" s="8"/>
    </row>
    <row r="422" spans="1:13" ht="17.25" customHeight="1" x14ac:dyDescent="0.2">
      <c r="A422" s="2" t="s">
        <v>848</v>
      </c>
      <c r="B422" s="2" t="s">
        <v>826</v>
      </c>
      <c r="C422" s="2" t="s">
        <v>14</v>
      </c>
      <c r="D422" s="2" t="s">
        <v>38</v>
      </c>
      <c r="E422" s="2" t="s">
        <v>26</v>
      </c>
      <c r="F422" s="2" t="s">
        <v>849</v>
      </c>
      <c r="G422" s="2" t="s">
        <v>82</v>
      </c>
      <c r="H422" s="9">
        <v>133</v>
      </c>
      <c r="I422" s="8">
        <v>0.5</v>
      </c>
      <c r="J422" s="8">
        <v>2.25</v>
      </c>
      <c r="K422" s="9"/>
      <c r="L422" s="8"/>
      <c r="M422" s="8"/>
    </row>
    <row r="423" spans="1:13" ht="17.25" customHeight="1" x14ac:dyDescent="0.2">
      <c r="A423" s="2" t="s">
        <v>850</v>
      </c>
      <c r="B423" s="2" t="s">
        <v>826</v>
      </c>
      <c r="C423" s="2" t="s">
        <v>42</v>
      </c>
      <c r="D423" s="2" t="s">
        <v>851</v>
      </c>
      <c r="E423" s="2" t="s">
        <v>26</v>
      </c>
      <c r="F423" s="2" t="s">
        <v>852</v>
      </c>
      <c r="G423" s="2" t="s">
        <v>583</v>
      </c>
      <c r="H423" s="10">
        <f>76+977.1+395.9</f>
        <v>1449</v>
      </c>
      <c r="I423" s="8">
        <f>(0.07*76+0.03*977.1+0.09*395.9)/$H423</f>
        <v>4.8491373360938568E-2</v>
      </c>
      <c r="J423" s="8">
        <f>(0.04*76+0.02*977.1+0.05*395.9)/$H423</f>
        <v>2.9245686680469292E-2</v>
      </c>
      <c r="K423" s="10">
        <f>(10.97*450.8+12.26*186.2)/$H423</f>
        <v>4.9883285024154596</v>
      </c>
      <c r="L423" s="8">
        <f>(0.48*76+0.44*977.1+0.42*395.9)/$H423</f>
        <v>0.43663354037267083</v>
      </c>
      <c r="M423" s="8">
        <f>(0.21*450.8+0.28*186.2)/$H423</f>
        <v>0.10131400966183575</v>
      </c>
    </row>
    <row r="424" spans="1:13" ht="17.25" customHeight="1" x14ac:dyDescent="0.2">
      <c r="A424" s="2" t="s">
        <v>853</v>
      </c>
      <c r="B424" s="2" t="s">
        <v>826</v>
      </c>
      <c r="C424" s="2" t="s">
        <v>30</v>
      </c>
      <c r="D424" s="2"/>
      <c r="E424" s="7" t="s">
        <v>16</v>
      </c>
      <c r="F424" s="2" t="s">
        <v>854</v>
      </c>
      <c r="G424" s="2" t="s">
        <v>841</v>
      </c>
      <c r="H424" s="10">
        <v>5</v>
      </c>
      <c r="I424" s="8">
        <v>3.3</v>
      </c>
      <c r="J424" s="8">
        <v>5.2</v>
      </c>
      <c r="K424" s="9">
        <v>125</v>
      </c>
      <c r="L424" s="8"/>
      <c r="M424" s="8">
        <v>0.4</v>
      </c>
    </row>
    <row r="425" spans="1:13" ht="17.25" customHeight="1" x14ac:dyDescent="0.2">
      <c r="A425" s="2" t="s">
        <v>855</v>
      </c>
      <c r="B425" s="2" t="s">
        <v>826</v>
      </c>
      <c r="C425" s="2" t="s">
        <v>14</v>
      </c>
      <c r="D425" s="2" t="s">
        <v>142</v>
      </c>
      <c r="E425" s="2" t="s">
        <v>26</v>
      </c>
      <c r="F425" s="2" t="s">
        <v>843</v>
      </c>
      <c r="G425" s="2" t="s">
        <v>82</v>
      </c>
      <c r="H425" s="8">
        <f>0.6063+0.5904</f>
        <v>1.1966999999999999</v>
      </c>
      <c r="I425" s="8">
        <f>(3.81*0.6063+12.45*0.5904)/$H425</f>
        <v>8.0726021559288039</v>
      </c>
      <c r="J425" s="8">
        <f>(4.83*0.6063+2.9*0.5904)/$H425</f>
        <v>3.8778215091501638</v>
      </c>
      <c r="K425" s="12">
        <f>(123.4*0.6063+278.78*0.5904)/$H425</f>
        <v>200.05776886437707</v>
      </c>
      <c r="L425" s="8">
        <f>(0.99*0.6063+0.78*0.5904)/$H425</f>
        <v>0.8863950864878416</v>
      </c>
      <c r="M425" s="8"/>
    </row>
    <row r="426" spans="1:13" ht="17.25" customHeight="1" x14ac:dyDescent="0.2">
      <c r="A426" s="2" t="s">
        <v>856</v>
      </c>
      <c r="B426" s="2" t="s">
        <v>826</v>
      </c>
      <c r="C426" s="2" t="s">
        <v>14</v>
      </c>
      <c r="D426" s="2" t="s">
        <v>142</v>
      </c>
      <c r="E426" s="2" t="s">
        <v>26</v>
      </c>
      <c r="F426" s="2" t="s">
        <v>843</v>
      </c>
      <c r="G426" s="2" t="s">
        <v>82</v>
      </c>
      <c r="H426" s="11">
        <f>32200/0.138/1000000</f>
        <v>0.23333333333333331</v>
      </c>
      <c r="I426" s="8">
        <v>13.8</v>
      </c>
      <c r="J426" s="8">
        <v>7.8</v>
      </c>
      <c r="K426" s="9"/>
      <c r="L426" s="8"/>
      <c r="M426" s="8"/>
    </row>
    <row r="427" spans="1:13" ht="17.25" customHeight="1" x14ac:dyDescent="0.2">
      <c r="A427" s="2" t="s">
        <v>857</v>
      </c>
      <c r="B427" s="2" t="s">
        <v>826</v>
      </c>
      <c r="C427" s="2" t="s">
        <v>132</v>
      </c>
      <c r="D427" s="2"/>
      <c r="E427" s="7" t="s">
        <v>16</v>
      </c>
      <c r="F427" s="2" t="s">
        <v>858</v>
      </c>
      <c r="G427" s="2" t="s">
        <v>841</v>
      </c>
      <c r="H427" s="10">
        <v>2</v>
      </c>
      <c r="I427" s="9">
        <v>10</v>
      </c>
      <c r="J427" s="9">
        <v>10</v>
      </c>
      <c r="K427" s="9"/>
      <c r="L427" s="8">
        <v>0.5</v>
      </c>
      <c r="M427" s="8"/>
    </row>
    <row r="428" spans="1:13" ht="17.25" customHeight="1" x14ac:dyDescent="0.2">
      <c r="A428" s="2" t="s">
        <v>859</v>
      </c>
      <c r="B428" s="2" t="s">
        <v>826</v>
      </c>
      <c r="C428" s="2" t="s">
        <v>576</v>
      </c>
      <c r="D428" s="2"/>
      <c r="E428" s="2" t="s">
        <v>26</v>
      </c>
      <c r="F428" s="2" t="s">
        <v>860</v>
      </c>
      <c r="G428" s="2" t="s">
        <v>861</v>
      </c>
      <c r="H428" s="8">
        <v>20.416</v>
      </c>
      <c r="I428" s="8">
        <v>1.8</v>
      </c>
      <c r="J428" s="8">
        <v>1.4</v>
      </c>
      <c r="K428" s="8">
        <v>16.600000000000001</v>
      </c>
      <c r="L428" s="8"/>
      <c r="M428" s="8"/>
    </row>
    <row r="429" spans="1:13" ht="17.25" customHeight="1" x14ac:dyDescent="0.2">
      <c r="A429" s="2" t="s">
        <v>862</v>
      </c>
      <c r="B429" s="2" t="s">
        <v>826</v>
      </c>
      <c r="C429" s="2" t="s">
        <v>14</v>
      </c>
      <c r="D429" s="2" t="s">
        <v>15</v>
      </c>
      <c r="E429" s="7" t="s">
        <v>16</v>
      </c>
      <c r="F429" s="2" t="s">
        <v>863</v>
      </c>
      <c r="G429" s="2" t="s">
        <v>841</v>
      </c>
      <c r="H429" s="10">
        <v>25</v>
      </c>
      <c r="I429" s="8">
        <v>1.8</v>
      </c>
      <c r="J429" s="8">
        <v>7.7</v>
      </c>
      <c r="K429" s="9"/>
      <c r="L429" s="8"/>
      <c r="M429" s="8"/>
    </row>
    <row r="430" spans="1:13" ht="17.25" customHeight="1" x14ac:dyDescent="0.2">
      <c r="A430" s="2" t="s">
        <v>864</v>
      </c>
      <c r="B430" s="2" t="s">
        <v>826</v>
      </c>
      <c r="C430" s="2" t="s">
        <v>24</v>
      </c>
      <c r="D430" s="2"/>
      <c r="E430" s="2" t="s">
        <v>26</v>
      </c>
      <c r="F430" s="2" t="s">
        <v>849</v>
      </c>
      <c r="G430" s="2" t="s">
        <v>82</v>
      </c>
      <c r="H430" s="8">
        <v>20.6</v>
      </c>
      <c r="I430" s="8"/>
      <c r="J430" s="8">
        <v>0.4</v>
      </c>
      <c r="K430" s="9"/>
      <c r="L430" s="8">
        <v>1.1599999999999999</v>
      </c>
      <c r="M430" s="8"/>
    </row>
    <row r="431" spans="1:13" ht="17.25" customHeight="1" x14ac:dyDescent="0.2">
      <c r="A431" s="2" t="s">
        <v>865</v>
      </c>
      <c r="B431" s="2" t="s">
        <v>826</v>
      </c>
      <c r="C431" s="2" t="s">
        <v>132</v>
      </c>
      <c r="D431" s="2"/>
      <c r="E431" s="2" t="s">
        <v>26</v>
      </c>
      <c r="F431" s="2" t="s">
        <v>843</v>
      </c>
      <c r="G431" s="2" t="s">
        <v>82</v>
      </c>
      <c r="H431" s="11">
        <v>8.5017879999999995</v>
      </c>
      <c r="I431" s="8">
        <v>9.4</v>
      </c>
      <c r="J431" s="10">
        <v>6</v>
      </c>
      <c r="K431" s="10">
        <v>256</v>
      </c>
      <c r="L431" s="8"/>
      <c r="M431" s="8"/>
    </row>
    <row r="432" spans="1:13" ht="17.25" customHeight="1" x14ac:dyDescent="0.2">
      <c r="A432" s="2" t="s">
        <v>866</v>
      </c>
      <c r="B432" s="2" t="s">
        <v>826</v>
      </c>
      <c r="C432" s="2" t="s">
        <v>132</v>
      </c>
      <c r="D432" s="2"/>
      <c r="E432" s="2" t="s">
        <v>26</v>
      </c>
      <c r="F432" s="2" t="s">
        <v>867</v>
      </c>
      <c r="G432" s="2" t="s">
        <v>480</v>
      </c>
      <c r="H432" s="8">
        <v>219.8</v>
      </c>
      <c r="I432" s="8"/>
      <c r="J432" s="8">
        <v>0.08</v>
      </c>
      <c r="K432" s="8">
        <v>3.81</v>
      </c>
      <c r="L432" s="8">
        <v>0.43</v>
      </c>
      <c r="M432" s="8">
        <v>0.61</v>
      </c>
    </row>
    <row r="433" spans="1:13" ht="17.25" customHeight="1" x14ac:dyDescent="0.2">
      <c r="A433" s="2" t="s">
        <v>868</v>
      </c>
      <c r="B433" s="2" t="s">
        <v>826</v>
      </c>
      <c r="C433" s="2" t="s">
        <v>24</v>
      </c>
      <c r="D433" s="2"/>
      <c r="E433" s="2" t="s">
        <v>26</v>
      </c>
      <c r="F433" s="2" t="s">
        <v>849</v>
      </c>
      <c r="G433" s="2" t="s">
        <v>82</v>
      </c>
      <c r="H433" s="8">
        <f>23.99+11.21</f>
        <v>35.200000000000003</v>
      </c>
      <c r="I433" s="8"/>
      <c r="J433" s="8">
        <f>(0.95*23.99+0.64*11.21)/$H433</f>
        <v>0.85127556818181815</v>
      </c>
      <c r="K433" s="9"/>
      <c r="L433" s="8">
        <f>(2.03*23.99+2.04*11.21)/$H433</f>
        <v>2.0331846590909084</v>
      </c>
      <c r="M433" s="8"/>
    </row>
    <row r="434" spans="1:13" ht="17.25" customHeight="1" x14ac:dyDescent="0.2">
      <c r="A434" s="2" t="s">
        <v>869</v>
      </c>
      <c r="B434" s="2" t="s">
        <v>826</v>
      </c>
      <c r="C434" s="2" t="s">
        <v>576</v>
      </c>
      <c r="D434" s="2"/>
      <c r="E434" s="2" t="s">
        <v>26</v>
      </c>
      <c r="F434" s="2" t="s">
        <v>849</v>
      </c>
      <c r="G434" s="2" t="s">
        <v>82</v>
      </c>
      <c r="H434" s="8">
        <v>136.4</v>
      </c>
      <c r="I434" s="8">
        <v>0.48</v>
      </c>
      <c r="J434" s="8">
        <v>2.46</v>
      </c>
      <c r="K434" s="9"/>
      <c r="L434" s="8"/>
      <c r="M434" s="8"/>
    </row>
    <row r="435" spans="1:13" ht="17.25" customHeight="1" x14ac:dyDescent="0.2">
      <c r="A435" s="2" t="s">
        <v>870</v>
      </c>
      <c r="B435" s="2" t="s">
        <v>826</v>
      </c>
      <c r="C435" s="2" t="s">
        <v>410</v>
      </c>
      <c r="D435" s="2" t="s">
        <v>871</v>
      </c>
      <c r="E435" s="2" t="s">
        <v>26</v>
      </c>
      <c r="F435" s="2" t="s">
        <v>836</v>
      </c>
      <c r="G435" s="2" t="s">
        <v>872</v>
      </c>
      <c r="H435" s="8">
        <f>2.74+2.33+2.8+0.29+0.38+0.17+0.66+0.5+0.43+0.28+0.87+0.6+0.3+1.79+1.44+1.3+2.57+2.09</f>
        <v>21.54</v>
      </c>
      <c r="I435" s="8">
        <f>(5.81*2.74+4.42*2.33+4.55*2.8+1.56*0.29+1.46*0.38+1.01*0.17+5.45*0.66+3.72*0.5+3.88*0.43+1.63*0.28+1.39*0.87+1.46*0.6+2.49*0.3+2.59*1.79+2.15*1.44+3.23*1.3+2.84*2.57+2.87*2.09)/$H435</f>
        <v>3.5180687093779013</v>
      </c>
      <c r="J435" s="8">
        <f>(3.01*2.74+2.36*2.33+2.01*2.8+0.25*0.29+0.17*0.38+0.19*0.17+1.09*0.66+1.43*0.5+1.55*0.43+0.29*0.28+0.37*0.87+0.45*0.6+0.21*0.3+0.28*1.79+0.31*1.44+0.22*1.3+0.27*2.57+0.22*2.09)/$H435</f>
        <v>1.1498560817084496</v>
      </c>
      <c r="K435" s="12">
        <f>(304*2.74+244*2.33+282*2.8+417*0.29+336*0.38+374*0.17+118*0.66+93*0.5+77*0.43+343*0.28+322*0.87+294*0.6+321*0.3+244*1.79+313*1.44+157*1.3+175*2.57+176*2.09)/$H435</f>
        <v>242.2845868152275</v>
      </c>
      <c r="L435" s="8"/>
      <c r="M435" s="8">
        <f>(0*2.74+0*2.33+0*2.8+0*0.29+0*0.38+0*0.17+1.12*0.66+1.25*0.5+1.07*0.43+0*0.28+0*0.87+0*0.6+0*0.3+0*1.79+0*1.44+0*1.3+0*2.57+0*2.09)/$H435</f>
        <v>8.4693593314763241E-2</v>
      </c>
    </row>
    <row r="436" spans="1:13" ht="17.25" customHeight="1" x14ac:dyDescent="0.2">
      <c r="A436" s="2" t="s">
        <v>873</v>
      </c>
      <c r="B436" s="2" t="s">
        <v>874</v>
      </c>
      <c r="C436" s="2" t="s">
        <v>875</v>
      </c>
      <c r="D436" s="2"/>
      <c r="E436" s="2" t="s">
        <v>26</v>
      </c>
      <c r="F436" s="2" t="s">
        <v>876</v>
      </c>
      <c r="G436" s="2" t="s">
        <v>877</v>
      </c>
      <c r="H436" s="8">
        <f>0.6+8.1</f>
        <v>8.6999999999999993</v>
      </c>
      <c r="I436" s="8"/>
      <c r="J436" s="10">
        <f>(0.3*0.6+3*8.1)/$H436</f>
        <v>2.8137931034482757</v>
      </c>
      <c r="K436" s="10">
        <f>(2.8*0.6+3.4*8.1)/$H436</f>
        <v>3.3586206896551727</v>
      </c>
      <c r="L436" s="8"/>
      <c r="M436" s="8"/>
    </row>
    <row r="437" spans="1:13" ht="17.25" customHeight="1" x14ac:dyDescent="0.2">
      <c r="A437" s="2" t="s">
        <v>878</v>
      </c>
      <c r="B437" s="2" t="s">
        <v>879</v>
      </c>
      <c r="C437" s="2" t="s">
        <v>14</v>
      </c>
      <c r="D437" s="2" t="s">
        <v>38</v>
      </c>
      <c r="E437" s="7" t="s">
        <v>16</v>
      </c>
      <c r="F437" s="2" t="s">
        <v>17</v>
      </c>
      <c r="G437" s="2" t="s">
        <v>20</v>
      </c>
      <c r="H437" s="8">
        <v>14.8</v>
      </c>
      <c r="I437" s="8">
        <v>0.24</v>
      </c>
      <c r="J437" s="8">
        <v>0.51</v>
      </c>
      <c r="K437" s="9"/>
      <c r="L437" s="8">
        <v>4.3899999999999997</v>
      </c>
      <c r="M437" s="8"/>
    </row>
    <row r="438" spans="1:13" ht="17.25" customHeight="1" x14ac:dyDescent="0.2">
      <c r="A438" s="2" t="s">
        <v>880</v>
      </c>
      <c r="B438" s="2" t="s">
        <v>879</v>
      </c>
      <c r="C438" s="2" t="s">
        <v>24</v>
      </c>
      <c r="D438" s="2"/>
      <c r="E438" s="7" t="s">
        <v>16</v>
      </c>
      <c r="F438" s="2" t="s">
        <v>17</v>
      </c>
      <c r="G438" s="2" t="s">
        <v>881</v>
      </c>
      <c r="H438" s="8">
        <v>0.54</v>
      </c>
      <c r="I438" s="8">
        <f>0.39/3</f>
        <v>0.13</v>
      </c>
      <c r="J438" s="8">
        <f>0.39*(2/3)</f>
        <v>0.26</v>
      </c>
      <c r="K438" s="9"/>
      <c r="L438" s="8"/>
      <c r="M438" s="8"/>
    </row>
    <row r="439" spans="1:13" ht="17.25" customHeight="1" x14ac:dyDescent="0.2">
      <c r="A439" s="2" t="s">
        <v>882</v>
      </c>
      <c r="B439" s="2" t="s">
        <v>879</v>
      </c>
      <c r="C439" s="2" t="s">
        <v>14</v>
      </c>
      <c r="D439" s="2" t="s">
        <v>38</v>
      </c>
      <c r="E439" s="7" t="s">
        <v>16</v>
      </c>
      <c r="F439" s="2" t="s">
        <v>883</v>
      </c>
      <c r="G439" s="2" t="s">
        <v>841</v>
      </c>
      <c r="H439" s="9">
        <v>12</v>
      </c>
      <c r="I439" s="8">
        <v>3.2</v>
      </c>
      <c r="J439" s="8">
        <v>2.4</v>
      </c>
      <c r="K439" s="9">
        <v>43</v>
      </c>
      <c r="L439" s="8"/>
      <c r="M439" s="8"/>
    </row>
    <row r="440" spans="1:13" ht="17.25" customHeight="1" x14ac:dyDescent="0.2">
      <c r="A440" s="2" t="s">
        <v>884</v>
      </c>
      <c r="B440" s="2" t="s">
        <v>885</v>
      </c>
      <c r="C440" s="2" t="s">
        <v>14</v>
      </c>
      <c r="D440" s="2" t="s">
        <v>333</v>
      </c>
      <c r="E440" s="7" t="s">
        <v>16</v>
      </c>
      <c r="F440" s="2" t="s">
        <v>886</v>
      </c>
      <c r="G440" s="2" t="s">
        <v>887</v>
      </c>
      <c r="H440" s="11">
        <f>16.929106+9.046352</f>
        <v>25.975458000000003</v>
      </c>
      <c r="I440" s="8"/>
      <c r="J440" s="8">
        <f>(16.76*16.929106+23.32*9.046352)/$H440</f>
        <v>19.044620703126775</v>
      </c>
      <c r="K440" s="9"/>
      <c r="L440" s="8">
        <f>(2.32*16.929106+1.93*9.046352)/$H440</f>
        <v>2.1841765130763044</v>
      </c>
      <c r="M440" s="8"/>
    </row>
    <row r="441" spans="1:13" ht="17.25" customHeight="1" x14ac:dyDescent="0.2">
      <c r="A441" s="2" t="s">
        <v>888</v>
      </c>
      <c r="B441" s="2" t="s">
        <v>885</v>
      </c>
      <c r="C441" s="2" t="s">
        <v>889</v>
      </c>
      <c r="D441" s="2" t="s">
        <v>333</v>
      </c>
      <c r="E441" s="15" t="s">
        <v>171</v>
      </c>
      <c r="F441" s="2" t="s">
        <v>890</v>
      </c>
      <c r="G441" s="2" t="s">
        <v>891</v>
      </c>
      <c r="H441" s="8">
        <v>5.3</v>
      </c>
      <c r="I441" s="8"/>
      <c r="J441" s="8">
        <v>4.9000000000000004</v>
      </c>
      <c r="K441" s="9"/>
      <c r="L441" s="8"/>
      <c r="M441" s="8"/>
    </row>
    <row r="442" spans="1:13" ht="17.25" customHeight="1" x14ac:dyDescent="0.2">
      <c r="A442" s="2" t="s">
        <v>892</v>
      </c>
      <c r="B442" s="2" t="s">
        <v>893</v>
      </c>
      <c r="C442" s="2" t="s">
        <v>30</v>
      </c>
      <c r="D442" s="2" t="s">
        <v>262</v>
      </c>
      <c r="E442" s="7" t="s">
        <v>16</v>
      </c>
      <c r="F442" s="2" t="s">
        <v>894</v>
      </c>
      <c r="G442" s="2" t="s">
        <v>895</v>
      </c>
      <c r="H442" s="11">
        <f>1.087645+0.272667+0.330095+0.29+0.514832</f>
        <v>2.4952389999999998</v>
      </c>
      <c r="I442" s="8"/>
      <c r="J442" s="8">
        <f>(0.77*1.087645+1.67*0.272667+1.45*0.330095+1.49*0.29+0.0289*0.514832)/$H442</f>
        <v>0.88907593012132324</v>
      </c>
      <c r="K442" s="8">
        <f>(4.36*1.087645+0*0.272667+0*0.330095+0*0.29+3.09*0.514832)/$H442</f>
        <v>2.5380186346878997</v>
      </c>
      <c r="L442" s="8">
        <f>(2.22*1.087645+2*0.272667+1.9*0.330095+1.55*0.29+0.17*0.514832)/$H442</f>
        <v>1.6527907106293225</v>
      </c>
      <c r="M442" s="8">
        <f>(0.16*1.087645+0*0.272667+0*0.330095+1.34*0.29+1.32*0.514832)/$H442</f>
        <v>0.49782864086366085</v>
      </c>
    </row>
    <row r="443" spans="1:13" ht="17.25" customHeight="1" x14ac:dyDescent="0.2">
      <c r="A443" s="2" t="s">
        <v>896</v>
      </c>
      <c r="B443" s="2" t="s">
        <v>893</v>
      </c>
      <c r="C443" s="2" t="s">
        <v>24</v>
      </c>
      <c r="D443" s="2"/>
      <c r="E443" s="2" t="s">
        <v>26</v>
      </c>
      <c r="F443" s="2" t="s">
        <v>894</v>
      </c>
      <c r="G443" s="2" t="s">
        <v>423</v>
      </c>
      <c r="H443" s="11">
        <f>5.628632+1.739214+0.142283</f>
        <v>7.5101290000000001</v>
      </c>
      <c r="I443" s="8"/>
      <c r="J443" s="8">
        <f>(1.46*5.628632+1.31*1.739214+1.12*0.142283)/$H443</f>
        <v>1.4188211707149105</v>
      </c>
      <c r="K443" s="10">
        <f>(33.3*5.628632+28.7*1.739214+34.6*0.142283)/$H443</f>
        <v>32.259349899315971</v>
      </c>
      <c r="L443" s="8">
        <f>(2.3*5.628632+1.25*1.739214+1.2*0.142283)/$H443</f>
        <v>2.0359984096145349</v>
      </c>
      <c r="M443" s="8">
        <f>(0.91*5.628632+0.73*1.739214+0.71*0.142283)/$H443</f>
        <v>0.86452606473204385</v>
      </c>
    </row>
    <row r="444" spans="1:13" ht="17.25" customHeight="1" x14ac:dyDescent="0.2">
      <c r="A444" s="2" t="s">
        <v>897</v>
      </c>
      <c r="B444" s="2" t="s">
        <v>893</v>
      </c>
      <c r="C444" s="2" t="s">
        <v>24</v>
      </c>
      <c r="D444" s="2"/>
      <c r="E444" s="2" t="s">
        <v>26</v>
      </c>
      <c r="F444" s="2" t="s">
        <v>898</v>
      </c>
      <c r="G444" s="2" t="s">
        <v>741</v>
      </c>
      <c r="H444" s="8">
        <f>1.011+0.439</f>
        <v>1.45</v>
      </c>
      <c r="I444" s="8"/>
      <c r="J444" s="8">
        <f>(2.57*1.011+4.67*0.439)/$H444</f>
        <v>3.2057931034482752</v>
      </c>
      <c r="K444" s="10">
        <f>(49.58*1.011+36.907*0.439)/$H444</f>
        <v>45.743139999999997</v>
      </c>
      <c r="L444" s="8">
        <f>(2.4*1.011+2.558*0.439)/$H444</f>
        <v>2.4478358620689651</v>
      </c>
      <c r="M444" s="8">
        <f>(2.81*1.011+1.68*0.439)/$H444</f>
        <v>2.4678827586206893</v>
      </c>
    </row>
    <row r="445" spans="1:13" ht="17.25" customHeight="1" x14ac:dyDescent="0.2">
      <c r="A445" s="2" t="s">
        <v>899</v>
      </c>
      <c r="B445" s="2" t="s">
        <v>893</v>
      </c>
      <c r="C445" s="2" t="s">
        <v>30</v>
      </c>
      <c r="D445" s="2" t="s">
        <v>900</v>
      </c>
      <c r="E445" s="2" t="s">
        <v>26</v>
      </c>
      <c r="F445" s="2" t="s">
        <v>898</v>
      </c>
      <c r="G445" s="2" t="s">
        <v>599</v>
      </c>
      <c r="H445" s="8">
        <f>27.49+24.42+2.55+3.09</f>
        <v>57.55</v>
      </c>
      <c r="I445" s="8"/>
      <c r="J445" s="8">
        <f>(0.28*27.49+0.41*24.42+0.16*2.55+0.18*3.09)/$H445</f>
        <v>0.3244761077324067</v>
      </c>
      <c r="K445" s="10">
        <f>(3.7*27.49+3.6*24.42+1.5*2.55+2.5*3.09)/$H445</f>
        <v>3.495655951346655</v>
      </c>
      <c r="L445" s="8">
        <f>(0.51*27.49+0.23*24.42+0.21*2.55+0.15*3.09)/$H445</f>
        <v>0.35856646394439617</v>
      </c>
      <c r="M445" s="8">
        <f>(1.78*27.49+0.87*24.42+2.87*2.55+1.21*3.09)/$H445</f>
        <v>1.4115551694178976</v>
      </c>
    </row>
    <row r="446" spans="1:13" ht="17.25" customHeight="1" x14ac:dyDescent="0.2">
      <c r="A446" s="2" t="s">
        <v>901</v>
      </c>
      <c r="B446" s="2" t="s">
        <v>902</v>
      </c>
      <c r="C446" s="2" t="s">
        <v>24</v>
      </c>
      <c r="D446" s="2"/>
      <c r="E446" s="2" t="s">
        <v>26</v>
      </c>
      <c r="F446" s="2" t="s">
        <v>903</v>
      </c>
      <c r="G446" s="2" t="s">
        <v>399</v>
      </c>
      <c r="H446" s="8">
        <f>6.08+3.882</f>
        <v>9.9619999999999997</v>
      </c>
      <c r="I446" s="8">
        <f>(0.28*6.08+0.16*3.882)/$H446</f>
        <v>0.23323830556113234</v>
      </c>
      <c r="J446" s="8">
        <f>(3.06*6.08+2.19*3.882)/$H446</f>
        <v>2.7209777153182095</v>
      </c>
      <c r="K446" s="10">
        <f>(55.81*6.08+42.92*3.882)/$H446</f>
        <v>50.787014655691628</v>
      </c>
      <c r="L446" s="8">
        <f>(2.33*6.08+1.56*3.882)/$H446</f>
        <v>2.0299457940172658</v>
      </c>
      <c r="M446" s="8">
        <f>(2.99*6.08+2.03*3.882)/$H446</f>
        <v>2.6159064444890587</v>
      </c>
    </row>
    <row r="447" spans="1:13" ht="17.25" customHeight="1" x14ac:dyDescent="0.2">
      <c r="A447" s="2" t="s">
        <v>904</v>
      </c>
      <c r="B447" s="2" t="s">
        <v>905</v>
      </c>
      <c r="C447" s="2" t="s">
        <v>108</v>
      </c>
      <c r="D447" s="2"/>
      <c r="E447" s="2" t="s">
        <v>26</v>
      </c>
      <c r="F447" s="2" t="s">
        <v>906</v>
      </c>
      <c r="G447" s="2" t="s">
        <v>583</v>
      </c>
      <c r="H447" s="8">
        <v>2.9</v>
      </c>
      <c r="I447" s="8"/>
      <c r="J447" s="8">
        <v>1.1499999999999999</v>
      </c>
      <c r="K447" s="10">
        <v>29.3</v>
      </c>
      <c r="L447" s="8">
        <v>0.77</v>
      </c>
      <c r="M447" s="8">
        <v>1.75</v>
      </c>
    </row>
    <row r="448" spans="1:13" ht="17.25" customHeight="1" x14ac:dyDescent="0.2">
      <c r="A448" s="2" t="s">
        <v>907</v>
      </c>
      <c r="B448" s="2" t="s">
        <v>905</v>
      </c>
      <c r="C448" s="2" t="s">
        <v>14</v>
      </c>
      <c r="D448" s="2" t="s">
        <v>15</v>
      </c>
      <c r="E448" s="7" t="s">
        <v>16</v>
      </c>
      <c r="F448" s="2" t="s">
        <v>17</v>
      </c>
      <c r="G448" s="2" t="s">
        <v>20</v>
      </c>
      <c r="H448" s="8">
        <v>1.5</v>
      </c>
      <c r="I448" s="8">
        <v>1.3</v>
      </c>
      <c r="J448" s="9">
        <v>11</v>
      </c>
      <c r="K448" s="9"/>
      <c r="L448" s="8"/>
      <c r="M448" s="8"/>
    </row>
    <row r="449" spans="1:13" ht="17.25" customHeight="1" x14ac:dyDescent="0.2">
      <c r="A449" s="2" t="s">
        <v>908</v>
      </c>
      <c r="B449" s="2" t="s">
        <v>909</v>
      </c>
      <c r="C449" s="2" t="s">
        <v>24</v>
      </c>
      <c r="D449" s="2"/>
      <c r="E449" s="2" t="s">
        <v>26</v>
      </c>
      <c r="F449" s="2" t="s">
        <v>910</v>
      </c>
      <c r="G449" s="2" t="s">
        <v>741</v>
      </c>
      <c r="H449" s="8">
        <v>1.841</v>
      </c>
      <c r="I449" s="8"/>
      <c r="J449" s="8">
        <v>10.050000000000001</v>
      </c>
      <c r="K449" s="9">
        <v>115</v>
      </c>
      <c r="L449" s="8">
        <v>1.78</v>
      </c>
      <c r="M449" s="8">
        <v>3.31</v>
      </c>
    </row>
    <row r="450" spans="1:13" ht="17.25" customHeight="1" x14ac:dyDescent="0.2">
      <c r="A450" s="2" t="s">
        <v>911</v>
      </c>
      <c r="B450" s="2" t="s">
        <v>909</v>
      </c>
      <c r="C450" s="2" t="s">
        <v>24</v>
      </c>
      <c r="D450" s="2"/>
      <c r="E450" s="2" t="s">
        <v>26</v>
      </c>
      <c r="F450" s="2" t="s">
        <v>910</v>
      </c>
      <c r="G450" s="2" t="s">
        <v>741</v>
      </c>
      <c r="H450" s="8">
        <f>0.371+0.72+1.389+0.774+0.058+0.239+0.138+0.144+0.154+0.006</f>
        <v>3.9929999999999994</v>
      </c>
      <c r="I450" s="8"/>
      <c r="J450" s="8">
        <f>(0.04*0.371+0.05*0.72+0.07*1.389+3.92*0.774+3.05*0.058+0.1*0.239+0*0.138+0.1*0.144+3.6*0.154+3.3*0.006)/$H450</f>
        <v>0.99462809917355377</v>
      </c>
      <c r="K450" s="12">
        <f>(6*0.371+27*0.72+33*1.389+29*0.774+22*0.058+5*0.239+22*0.138+31*0.144+41*0.154+21*0.006)/$H450</f>
        <v>26.636614074630604</v>
      </c>
      <c r="L450" s="8">
        <f>(0.06*0.371+0.08*0.72+5.15*1.389+2.34*0.774+0.36*0.058+0.1*0.239+0.1*0.138+2.7*0.144+1.2*0.154+0.4*0.006)/$H450</f>
        <v>2.4239794640621088</v>
      </c>
      <c r="M450" s="8">
        <f>(1.47*0.371+2.85*0.72+1.4*1.389+1.3*0.774+1.24*0.058+1.1*0.239+1.4*0.138+0.6*0.144+2.6*0.154+1.1*0.006)/$H450</f>
        <v>1.6452767342849992</v>
      </c>
    </row>
    <row r="451" spans="1:13" ht="17.25" customHeight="1" x14ac:dyDescent="0.2">
      <c r="A451" s="2" t="s">
        <v>912</v>
      </c>
      <c r="B451" s="2" t="s">
        <v>909</v>
      </c>
      <c r="C451" s="2" t="s">
        <v>24</v>
      </c>
      <c r="D451" s="2"/>
      <c r="E451" s="2" t="s">
        <v>26</v>
      </c>
      <c r="F451" s="2" t="s">
        <v>910</v>
      </c>
      <c r="G451" s="2" t="s">
        <v>741</v>
      </c>
      <c r="H451" s="8">
        <f>1.74+1.64+49.8+16.8+13.28+1.77</f>
        <v>85.03</v>
      </c>
      <c r="I451" s="8"/>
      <c r="J451" s="8">
        <f>(0.04*1.74+0.38*1.64+0.93*49.8+2.8*16.8+0.89*13.28+1.94*1.77)/$H451</f>
        <v>1.2854263201223097</v>
      </c>
      <c r="K451" s="10">
        <f>(4.3*1.74+12.2*1.64+7.7*49.8+9.9*16.8+10*13.28+11*1.77)/$H451</f>
        <v>8.5797953663412905</v>
      </c>
      <c r="L451" s="8">
        <f>(0.07*1.74+0.94*1.64+0.83*49.8+0.14*16.8+0.87*13.28+0.2*1.77)/$H451</f>
        <v>0.67337410325767377</v>
      </c>
      <c r="M451" s="8">
        <f>(1.06*1.74+0.17*1.64+0.17*49.8+0.31*16.8+0.25*13.28+0.39*1.77)/$H451</f>
        <v>0.23294719510760908</v>
      </c>
    </row>
    <row r="452" spans="1:13" ht="17.25" customHeight="1" x14ac:dyDescent="0.2">
      <c r="A452" s="2" t="s">
        <v>913</v>
      </c>
      <c r="B452" s="2" t="s">
        <v>909</v>
      </c>
      <c r="C452" s="2" t="s">
        <v>24</v>
      </c>
      <c r="D452" s="2"/>
      <c r="E452" s="2" t="s">
        <v>26</v>
      </c>
      <c r="F452" s="2" t="s">
        <v>914</v>
      </c>
      <c r="G452" s="2" t="s">
        <v>47</v>
      </c>
      <c r="H452" s="8">
        <f>0.41+7.46+21.07+0.03+0.01+1.3</f>
        <v>30.280000000000005</v>
      </c>
      <c r="I452" s="8"/>
      <c r="J452" s="8">
        <f>(0*0.41+0*7.46+5.87*21.07+0*0.03+0*0.01+4.5*1.3)/$H452</f>
        <v>4.2777708058124171</v>
      </c>
      <c r="K452" s="12">
        <f>(21*0.41+27*7.46+47*21.07+39*0.03+10*0.01+36*1.3)/$H452</f>
        <v>41.228203434610293</v>
      </c>
      <c r="L452" s="8">
        <f>(0*0.41+3.68*7.46+1.05*21.07+0*0.03+7.23*0.01+0.8*1.3)/$H452</f>
        <v>1.6739960369881108</v>
      </c>
      <c r="M452" s="10">
        <f>(6.8*0.41+0.6*7.46+0.7*21.07+7.3*0.03+0.1*0.01+0.5*1.3)/$H452</f>
        <v>0.75571334214002628</v>
      </c>
    </row>
    <row r="453" spans="1:13" ht="17.25" customHeight="1" x14ac:dyDescent="0.2">
      <c r="A453" s="2" t="s">
        <v>915</v>
      </c>
      <c r="B453" s="2" t="s">
        <v>909</v>
      </c>
      <c r="C453" s="2" t="s">
        <v>24</v>
      </c>
      <c r="D453" s="2"/>
      <c r="E453" s="2" t="s">
        <v>26</v>
      </c>
      <c r="F453" s="2" t="s">
        <v>914</v>
      </c>
      <c r="G453" s="2" t="s">
        <v>47</v>
      </c>
      <c r="H453" s="8">
        <f>6.86+0.02+0.002</f>
        <v>6.8819999999999997</v>
      </c>
      <c r="I453" s="8"/>
      <c r="J453" s="8">
        <f>(1.86*6.86+0*0.02+0.2*0.002)/$H453</f>
        <v>1.8541121766928221</v>
      </c>
      <c r="K453" s="12">
        <f>(10*6.86+17*0.02+8*0.002)/$H453</f>
        <v>10.019761697181055</v>
      </c>
      <c r="L453" s="8">
        <f>(1.14*6.86+0*0.02+0.9*0.002)/$H453</f>
        <v>1.1366172624237141</v>
      </c>
      <c r="M453" s="10">
        <f>(0.2*6.86+1.5*0.02+0.2*0.002)/$H453</f>
        <v>0.20377797151990704</v>
      </c>
    </row>
    <row r="454" spans="1:13" ht="17.25" customHeight="1" x14ac:dyDescent="0.2">
      <c r="A454" s="2" t="s">
        <v>916</v>
      </c>
      <c r="B454" s="2" t="s">
        <v>909</v>
      </c>
      <c r="C454" s="2" t="s">
        <v>24</v>
      </c>
      <c r="D454" s="2"/>
      <c r="E454" s="2" t="s">
        <v>26</v>
      </c>
      <c r="F454" s="2" t="s">
        <v>914</v>
      </c>
      <c r="G454" s="2" t="s">
        <v>47</v>
      </c>
      <c r="H454" s="8">
        <f>0.07+1.8+0.02+0.35</f>
        <v>2.2400000000000002</v>
      </c>
      <c r="I454" s="8"/>
      <c r="J454" s="8">
        <f>(0*0.07+3.91*1.8+0*0.02+4.1*0.35)/$H454</f>
        <v>3.7825892857142858</v>
      </c>
      <c r="K454" s="12">
        <f>(14*0.07+23*1.8+8*0.02+32*0.35)/$H454</f>
        <v>23.991071428571423</v>
      </c>
      <c r="L454" s="8">
        <f>(0*0.07+0.65*1.8+0*0.02+0.75*0.35)/$H454</f>
        <v>0.6395089285714286</v>
      </c>
      <c r="M454" s="10">
        <f>(5.5*0.07+0.6*1.8+5.9*0.02+0.8*0.35)/$H454</f>
        <v>0.83169642857142856</v>
      </c>
    </row>
    <row r="455" spans="1:13" ht="17.25" customHeight="1" x14ac:dyDescent="0.2">
      <c r="A455" s="2" t="s">
        <v>917</v>
      </c>
      <c r="B455" s="2" t="s">
        <v>909</v>
      </c>
      <c r="C455" s="2" t="s">
        <v>24</v>
      </c>
      <c r="D455" s="2"/>
      <c r="E455" s="2" t="s">
        <v>26</v>
      </c>
      <c r="F455" s="2" t="s">
        <v>914</v>
      </c>
      <c r="G455" s="2" t="s">
        <v>47</v>
      </c>
      <c r="H455" s="8">
        <f>1.02+2.53+0.5+0.1+0.1</f>
        <v>4.2499999999999991</v>
      </c>
      <c r="I455" s="8"/>
      <c r="J455" s="8">
        <f>(0*1.02+1.08*2.53+0*0.5+0*0.1+0.9*0.1)/$H455</f>
        <v>0.66409411764705895</v>
      </c>
      <c r="K455" s="12">
        <f>(10*1.02+13*2.53+18*0.5+19*0.1+15*0.1)/$H455</f>
        <v>13.056470588235298</v>
      </c>
      <c r="L455" s="8">
        <f>(1.47*1.02+1.04*2.53+0*0.5+0.8*0.1+0.9*0.1)/$H455</f>
        <v>1.0119058823529412</v>
      </c>
      <c r="M455" s="8">
        <f>(0.2*1.02+0.3*2.53+3.7*0.5+3.7*0.1+2.9*0.1)/$H455</f>
        <v>0.81717647058823539</v>
      </c>
    </row>
    <row r="456" spans="1:13" ht="17.25" customHeight="1" x14ac:dyDescent="0.2">
      <c r="A456" s="2" t="s">
        <v>918</v>
      </c>
      <c r="B456" s="2" t="s">
        <v>919</v>
      </c>
      <c r="C456" s="2" t="s">
        <v>24</v>
      </c>
      <c r="D456" s="2"/>
      <c r="E456" s="2" t="s">
        <v>26</v>
      </c>
      <c r="F456" s="2" t="s">
        <v>920</v>
      </c>
      <c r="G456" s="2" t="s">
        <v>82</v>
      </c>
      <c r="H456" s="8">
        <f>1.03+1.23+0.9</f>
        <v>3.1599999999999997</v>
      </c>
      <c r="I456" s="8"/>
      <c r="J456" s="8">
        <f>(0.06*1.03+0.07*1.23+0.1*0.9)/$H456</f>
        <v>7.528481012658228E-2</v>
      </c>
      <c r="K456" s="9"/>
      <c r="L456" s="8">
        <f>(0.47*1.03+0.3*1.23+0.3*0.9)/$H456</f>
        <v>0.35541139240506331</v>
      </c>
      <c r="M456" s="8"/>
    </row>
    <row r="457" spans="1:13" ht="17.25" customHeight="1" x14ac:dyDescent="0.2">
      <c r="A457" s="2" t="s">
        <v>921</v>
      </c>
      <c r="B457" s="2" t="s">
        <v>919</v>
      </c>
      <c r="C457" s="2" t="s">
        <v>340</v>
      </c>
      <c r="D457" s="2" t="s">
        <v>338</v>
      </c>
      <c r="E457" s="2" t="s">
        <v>26</v>
      </c>
      <c r="F457" s="2" t="s">
        <v>922</v>
      </c>
      <c r="G457" s="2" t="s">
        <v>583</v>
      </c>
      <c r="H457" s="8">
        <v>34.4</v>
      </c>
      <c r="I457" s="8"/>
      <c r="J457" s="8">
        <v>0.38</v>
      </c>
      <c r="K457" s="9"/>
      <c r="L457" s="8">
        <v>0.1</v>
      </c>
      <c r="M457" s="8"/>
    </row>
    <row r="458" spans="1:13" ht="17.25" customHeight="1" x14ac:dyDescent="0.2">
      <c r="A458" s="2" t="s">
        <v>923</v>
      </c>
      <c r="B458" s="2" t="s">
        <v>919</v>
      </c>
      <c r="C458" s="2" t="s">
        <v>24</v>
      </c>
      <c r="D458" s="2"/>
      <c r="E458" s="7" t="s">
        <v>16</v>
      </c>
      <c r="F458" s="2" t="s">
        <v>17</v>
      </c>
      <c r="G458" s="2" t="s">
        <v>924</v>
      </c>
      <c r="H458" s="8">
        <v>0.4</v>
      </c>
      <c r="I458" s="8"/>
      <c r="J458" s="8">
        <v>0.1</v>
      </c>
      <c r="K458" s="9"/>
      <c r="L458" s="8">
        <v>0.44</v>
      </c>
      <c r="M458" s="8"/>
    </row>
    <row r="459" spans="1:13" ht="17.25" customHeight="1" x14ac:dyDescent="0.2">
      <c r="A459" s="2" t="s">
        <v>925</v>
      </c>
      <c r="B459" s="2" t="s">
        <v>919</v>
      </c>
      <c r="C459" s="2" t="s">
        <v>24</v>
      </c>
      <c r="D459" s="2"/>
      <c r="E459" s="2" t="s">
        <v>26</v>
      </c>
      <c r="F459" s="2" t="s">
        <v>920</v>
      </c>
      <c r="G459" s="2" t="s">
        <v>82</v>
      </c>
      <c r="H459" s="8">
        <v>7.7</v>
      </c>
      <c r="I459" s="8"/>
      <c r="J459" s="8">
        <v>0.52</v>
      </c>
      <c r="K459" s="9"/>
      <c r="L459" s="8">
        <v>1.31</v>
      </c>
      <c r="M459" s="8">
        <v>0.68</v>
      </c>
    </row>
    <row r="460" spans="1:13" ht="17.25" customHeight="1" x14ac:dyDescent="0.2">
      <c r="A460" s="2" t="s">
        <v>926</v>
      </c>
      <c r="B460" s="2" t="s">
        <v>919</v>
      </c>
      <c r="C460" s="2" t="s">
        <v>24</v>
      </c>
      <c r="D460" s="2"/>
      <c r="E460" s="7" t="s">
        <v>16</v>
      </c>
      <c r="F460" s="2" t="s">
        <v>17</v>
      </c>
      <c r="G460" s="2" t="s">
        <v>924</v>
      </c>
      <c r="H460" s="8">
        <v>1.32</v>
      </c>
      <c r="I460" s="8"/>
      <c r="J460" s="8">
        <v>1.89</v>
      </c>
      <c r="K460" s="9"/>
      <c r="L460" s="8">
        <v>2.15</v>
      </c>
      <c r="M460" s="8"/>
    </row>
    <row r="461" spans="1:13" ht="17.25" customHeight="1" x14ac:dyDescent="0.2">
      <c r="A461" s="2" t="s">
        <v>927</v>
      </c>
      <c r="B461" s="2" t="s">
        <v>919</v>
      </c>
      <c r="C461" s="2" t="s">
        <v>24</v>
      </c>
      <c r="D461" s="2"/>
      <c r="E461" s="2" t="s">
        <v>26</v>
      </c>
      <c r="F461" s="2" t="s">
        <v>928</v>
      </c>
      <c r="G461" s="2" t="s">
        <v>47</v>
      </c>
      <c r="H461" s="8">
        <f>7.22+7.393</f>
        <v>14.613</v>
      </c>
      <c r="I461" s="8"/>
      <c r="J461" s="8">
        <f>(0.45*7.22+1.79*7.393)/$H461</f>
        <v>1.1279319783754191</v>
      </c>
      <c r="K461" s="10">
        <f>(14*7.22+14*7.393)/$H461</f>
        <v>14</v>
      </c>
      <c r="L461" s="8">
        <f>(0.6*7.22+1.05*7.393)/$H461</f>
        <v>0.82766372408129751</v>
      </c>
      <c r="M461" s="8">
        <f>(0.4*7.22+0.4*7.393)/$H461</f>
        <v>0.4</v>
      </c>
    </row>
    <row r="462" spans="1:13" ht="17.25" customHeight="1" x14ac:dyDescent="0.2">
      <c r="A462" s="2" t="s">
        <v>929</v>
      </c>
      <c r="B462" s="2" t="s">
        <v>919</v>
      </c>
      <c r="C462" s="2" t="s">
        <v>14</v>
      </c>
      <c r="D462" s="2" t="s">
        <v>38</v>
      </c>
      <c r="E462" s="7" t="s">
        <v>16</v>
      </c>
      <c r="F462" s="2" t="s">
        <v>17</v>
      </c>
      <c r="G462" s="2" t="s">
        <v>20</v>
      </c>
      <c r="H462" s="8">
        <v>1.7</v>
      </c>
      <c r="I462" s="8">
        <v>0.96</v>
      </c>
      <c r="J462" s="8">
        <v>4.97</v>
      </c>
      <c r="K462" s="9">
        <v>53</v>
      </c>
      <c r="L462" s="8">
        <v>1.33</v>
      </c>
      <c r="M462" s="8"/>
    </row>
    <row r="463" spans="1:13" ht="17.25" customHeight="1" x14ac:dyDescent="0.2">
      <c r="A463" s="2" t="s">
        <v>930</v>
      </c>
      <c r="B463" s="2" t="s">
        <v>919</v>
      </c>
      <c r="C463" s="2" t="s">
        <v>222</v>
      </c>
      <c r="D463" s="2"/>
      <c r="E463" s="2" t="s">
        <v>26</v>
      </c>
      <c r="F463" s="2" t="s">
        <v>931</v>
      </c>
      <c r="G463" s="2" t="s">
        <v>932</v>
      </c>
      <c r="H463" s="8">
        <v>34.4</v>
      </c>
      <c r="I463" s="8"/>
      <c r="J463" s="8">
        <v>0.38</v>
      </c>
      <c r="K463" s="9"/>
      <c r="L463" s="8">
        <v>0.1</v>
      </c>
      <c r="M463" s="8"/>
    </row>
    <row r="464" spans="1:13" ht="17.25" customHeight="1" x14ac:dyDescent="0.2">
      <c r="A464" s="2" t="s">
        <v>933</v>
      </c>
      <c r="B464" s="2" t="s">
        <v>919</v>
      </c>
      <c r="C464" s="2" t="s">
        <v>24</v>
      </c>
      <c r="D464" s="2"/>
      <c r="E464" s="7" t="s">
        <v>16</v>
      </c>
      <c r="F464" s="2" t="s">
        <v>17</v>
      </c>
      <c r="G464" s="2" t="s">
        <v>924</v>
      </c>
      <c r="H464" s="8">
        <v>0.7</v>
      </c>
      <c r="I464" s="8"/>
      <c r="J464" s="8">
        <v>0.09</v>
      </c>
      <c r="K464" s="9"/>
      <c r="L464" s="8">
        <v>0.72</v>
      </c>
      <c r="M464" s="8">
        <v>0.3</v>
      </c>
    </row>
    <row r="465" spans="1:13" ht="17.25" customHeight="1" x14ac:dyDescent="0.2">
      <c r="A465" s="2" t="s">
        <v>934</v>
      </c>
      <c r="B465" s="2" t="s">
        <v>919</v>
      </c>
      <c r="C465" s="2" t="s">
        <v>24</v>
      </c>
      <c r="D465" s="2"/>
      <c r="E465" s="2" t="s">
        <v>26</v>
      </c>
      <c r="F465" s="2" t="s">
        <v>920</v>
      </c>
      <c r="G465" s="2" t="s">
        <v>82</v>
      </c>
      <c r="H465" s="8">
        <v>3.4</v>
      </c>
      <c r="I465" s="8"/>
      <c r="J465" s="8">
        <v>0.63</v>
      </c>
      <c r="K465" s="9"/>
      <c r="L465" s="8">
        <v>0.71</v>
      </c>
      <c r="M465" s="8"/>
    </row>
    <row r="466" spans="1:13" ht="17.25" customHeight="1" x14ac:dyDescent="0.2">
      <c r="A466" s="2" t="s">
        <v>935</v>
      </c>
      <c r="B466" s="2" t="s">
        <v>919</v>
      </c>
      <c r="C466" s="2" t="s">
        <v>586</v>
      </c>
      <c r="D466" s="2"/>
      <c r="E466" s="7" t="s">
        <v>16</v>
      </c>
      <c r="F466" s="2" t="s">
        <v>17</v>
      </c>
      <c r="G466" s="2" t="s">
        <v>924</v>
      </c>
      <c r="H466" s="8">
        <v>0.2</v>
      </c>
      <c r="I466" s="8"/>
      <c r="J466" s="8">
        <v>0.25</v>
      </c>
      <c r="K466" s="9">
        <v>52</v>
      </c>
      <c r="L466" s="8">
        <v>1.95</v>
      </c>
      <c r="M466" s="8"/>
    </row>
    <row r="467" spans="1:13" ht="17.25" customHeight="1" x14ac:dyDescent="0.2">
      <c r="A467" s="2" t="s">
        <v>936</v>
      </c>
      <c r="B467" s="2" t="s">
        <v>919</v>
      </c>
      <c r="C467" s="2" t="s">
        <v>340</v>
      </c>
      <c r="D467" s="2" t="s">
        <v>338</v>
      </c>
      <c r="E467" s="2" t="s">
        <v>26</v>
      </c>
      <c r="F467" s="2" t="s">
        <v>937</v>
      </c>
      <c r="G467" s="2" t="s">
        <v>77</v>
      </c>
      <c r="H467" s="10">
        <f>504+800.5+748.3</f>
        <v>2052.8000000000002</v>
      </c>
      <c r="I467" s="8"/>
      <c r="J467" s="8">
        <f>(0.5*504+0.51*800.5+0.49*748.3)/$H467</f>
        <v>0.50025428682774742</v>
      </c>
      <c r="K467" s="9"/>
      <c r="L467" s="8">
        <f>(0.13*504+0.13*800.5+0.13*748.3)/$H467</f>
        <v>0.12999999999999998</v>
      </c>
      <c r="M467" s="8"/>
    </row>
    <row r="468" spans="1:13" ht="17.25" customHeight="1" x14ac:dyDescent="0.2">
      <c r="A468" s="2" t="s">
        <v>938</v>
      </c>
      <c r="B468" s="2" t="s">
        <v>919</v>
      </c>
      <c r="C468" s="2" t="s">
        <v>24</v>
      </c>
      <c r="D468" s="2"/>
      <c r="E468" s="2" t="s">
        <v>26</v>
      </c>
      <c r="F468" s="2" t="s">
        <v>920</v>
      </c>
      <c r="G468" s="2" t="s">
        <v>82</v>
      </c>
      <c r="H468" s="8">
        <v>0.76</v>
      </c>
      <c r="I468" s="8"/>
      <c r="J468" s="8">
        <v>1.33</v>
      </c>
      <c r="K468" s="9"/>
      <c r="L468" s="8">
        <v>1.76</v>
      </c>
      <c r="M468" s="8"/>
    </row>
    <row r="469" spans="1:13" ht="17.25" customHeight="1" x14ac:dyDescent="0.2">
      <c r="A469" s="2" t="s">
        <v>939</v>
      </c>
      <c r="B469" s="2" t="s">
        <v>940</v>
      </c>
      <c r="C469" s="2" t="s">
        <v>14</v>
      </c>
      <c r="D469" s="2" t="s">
        <v>38</v>
      </c>
      <c r="E469" s="7" t="s">
        <v>16</v>
      </c>
      <c r="F469" s="2" t="s">
        <v>17</v>
      </c>
      <c r="G469" s="2" t="s">
        <v>20</v>
      </c>
      <c r="H469" s="9">
        <v>4</v>
      </c>
      <c r="I469" s="8">
        <v>3.5</v>
      </c>
      <c r="J469" s="8">
        <v>3.5</v>
      </c>
      <c r="K469" s="9"/>
      <c r="L469" s="8"/>
      <c r="M469" s="8"/>
    </row>
    <row r="470" spans="1:13" ht="17.25" customHeight="1" x14ac:dyDescent="0.2">
      <c r="A470" s="2" t="s">
        <v>941</v>
      </c>
      <c r="B470" s="2" t="s">
        <v>940</v>
      </c>
      <c r="C470" s="2" t="s">
        <v>14</v>
      </c>
      <c r="D470" s="2" t="s">
        <v>15</v>
      </c>
      <c r="E470" s="7" t="s">
        <v>16</v>
      </c>
      <c r="F470" s="2" t="s">
        <v>17</v>
      </c>
      <c r="G470" s="2" t="s">
        <v>20</v>
      </c>
      <c r="H470" s="8">
        <v>0.06</v>
      </c>
      <c r="I470" s="8">
        <v>1.4</v>
      </c>
      <c r="J470" s="9">
        <v>6</v>
      </c>
      <c r="K470" s="9">
        <v>20</v>
      </c>
      <c r="L470" s="8"/>
      <c r="M470" s="8"/>
    </row>
    <row r="471" spans="1:13" ht="17.25" customHeight="1" x14ac:dyDescent="0.2">
      <c r="A471" s="2" t="s">
        <v>942</v>
      </c>
      <c r="B471" s="2" t="s">
        <v>943</v>
      </c>
      <c r="C471" s="2" t="s">
        <v>30</v>
      </c>
      <c r="D471" s="2"/>
      <c r="E471" s="2" t="s">
        <v>26</v>
      </c>
      <c r="F471" s="2" t="s">
        <v>17</v>
      </c>
      <c r="G471" s="2" t="s">
        <v>944</v>
      </c>
      <c r="H471" s="8">
        <v>0.28499999999999998</v>
      </c>
      <c r="I471" s="8">
        <v>2.36</v>
      </c>
      <c r="J471" s="8">
        <v>3.8</v>
      </c>
      <c r="K471" s="9"/>
      <c r="L471" s="8"/>
      <c r="M471" s="8"/>
    </row>
    <row r="472" spans="1:13" ht="17.25" customHeight="1" x14ac:dyDescent="0.2">
      <c r="A472" s="2" t="s">
        <v>945</v>
      </c>
      <c r="B472" s="2" t="s">
        <v>943</v>
      </c>
      <c r="C472" s="2" t="s">
        <v>14</v>
      </c>
      <c r="D472" s="2" t="s">
        <v>15</v>
      </c>
      <c r="E472" s="2" t="s">
        <v>26</v>
      </c>
      <c r="F472" s="2" t="s">
        <v>17</v>
      </c>
      <c r="G472" s="2" t="s">
        <v>944</v>
      </c>
      <c r="H472" s="8">
        <v>0.25</v>
      </c>
      <c r="I472" s="8">
        <v>1.2</v>
      </c>
      <c r="J472" s="8">
        <v>1</v>
      </c>
      <c r="K472" s="9"/>
      <c r="L472" s="8"/>
      <c r="M472" s="8"/>
    </row>
    <row r="473" spans="1:13" ht="17.25" customHeight="1" x14ac:dyDescent="0.2">
      <c r="A473" s="2" t="s">
        <v>946</v>
      </c>
      <c r="B473" s="2" t="s">
        <v>943</v>
      </c>
      <c r="C473" s="2" t="s">
        <v>30</v>
      </c>
      <c r="D473" s="2" t="s">
        <v>947</v>
      </c>
      <c r="E473" s="2" t="s">
        <v>26</v>
      </c>
      <c r="F473" s="2" t="s">
        <v>17</v>
      </c>
      <c r="G473" s="2" t="s">
        <v>944</v>
      </c>
      <c r="H473" s="8">
        <v>1.869</v>
      </c>
      <c r="I473" s="8">
        <v>2.67</v>
      </c>
      <c r="J473" s="8">
        <v>5.31</v>
      </c>
      <c r="K473" s="8">
        <v>30.1</v>
      </c>
      <c r="L473" s="8">
        <v>0.76</v>
      </c>
      <c r="M473" s="8">
        <v>1.9</v>
      </c>
    </row>
    <row r="474" spans="1:13" ht="17.25" customHeight="1" x14ac:dyDescent="0.2">
      <c r="A474" s="2" t="s">
        <v>948</v>
      </c>
      <c r="B474" s="2" t="s">
        <v>943</v>
      </c>
      <c r="C474" s="2" t="s">
        <v>30</v>
      </c>
      <c r="D474" s="2" t="s">
        <v>947</v>
      </c>
      <c r="E474" s="2" t="s">
        <v>26</v>
      </c>
      <c r="F474" s="2" t="s">
        <v>17</v>
      </c>
      <c r="G474" s="2" t="s">
        <v>944</v>
      </c>
      <c r="H474" s="9">
        <v>2</v>
      </c>
      <c r="I474" s="8">
        <v>2.5</v>
      </c>
      <c r="J474" s="9">
        <v>5</v>
      </c>
      <c r="K474" s="9">
        <v>15</v>
      </c>
      <c r="L474" s="8">
        <v>0.8</v>
      </c>
      <c r="M474" s="8">
        <v>2.5</v>
      </c>
    </row>
    <row r="475" spans="1:13" ht="17.25" customHeight="1" x14ac:dyDescent="0.2">
      <c r="A475" s="2" t="s">
        <v>949</v>
      </c>
      <c r="B475" s="2" t="s">
        <v>943</v>
      </c>
      <c r="C475" s="2" t="s">
        <v>30</v>
      </c>
      <c r="D475" s="2"/>
      <c r="E475" s="2" t="s">
        <v>26</v>
      </c>
      <c r="F475" s="2" t="s">
        <v>17</v>
      </c>
      <c r="G475" s="2" t="s">
        <v>944</v>
      </c>
      <c r="H475" s="8">
        <v>2.851</v>
      </c>
      <c r="I475" s="8">
        <v>2.2400000000000002</v>
      </c>
      <c r="J475" s="8">
        <v>6.47</v>
      </c>
      <c r="K475" s="8">
        <v>15.4</v>
      </c>
      <c r="L475" s="8"/>
      <c r="M475" s="8"/>
    </row>
    <row r="476" spans="1:13" ht="17.25" customHeight="1" x14ac:dyDescent="0.2">
      <c r="A476" s="2" t="s">
        <v>950</v>
      </c>
      <c r="B476" s="2" t="s">
        <v>943</v>
      </c>
      <c r="C476" s="2" t="s">
        <v>30</v>
      </c>
      <c r="D476" s="2" t="s">
        <v>947</v>
      </c>
      <c r="E476" s="2" t="s">
        <v>26</v>
      </c>
      <c r="F476" s="2" t="s">
        <v>17</v>
      </c>
      <c r="G476" s="2" t="s">
        <v>951</v>
      </c>
      <c r="H476" s="8">
        <v>93.07</v>
      </c>
      <c r="I476" s="8">
        <v>0.62</v>
      </c>
      <c r="J476" s="8">
        <v>4.09</v>
      </c>
      <c r="K476" s="8">
        <v>9.1999999999999993</v>
      </c>
      <c r="L476" s="8">
        <v>1.28</v>
      </c>
      <c r="M476" s="8">
        <v>1.8</v>
      </c>
    </row>
    <row r="477" spans="1:13" ht="17.25" customHeight="1" x14ac:dyDescent="0.2">
      <c r="A477" s="2" t="s">
        <v>952</v>
      </c>
      <c r="B477" s="2" t="s">
        <v>943</v>
      </c>
      <c r="C477" s="2" t="s">
        <v>42</v>
      </c>
      <c r="D477" s="2"/>
      <c r="E477" s="2" t="s">
        <v>26</v>
      </c>
      <c r="F477" s="2" t="s">
        <v>17</v>
      </c>
      <c r="G477" s="2" t="s">
        <v>944</v>
      </c>
      <c r="H477" s="8">
        <v>3.2679999999999998</v>
      </c>
      <c r="I477" s="8">
        <v>1.8</v>
      </c>
      <c r="J477" s="8">
        <v>1.4</v>
      </c>
      <c r="K477" s="8">
        <v>18.7</v>
      </c>
      <c r="L477" s="8">
        <v>2.84</v>
      </c>
      <c r="M477" s="8">
        <v>0.7</v>
      </c>
    </row>
    <row r="478" spans="1:13" ht="17.25" customHeight="1" x14ac:dyDescent="0.2">
      <c r="A478" s="2" t="s">
        <v>953</v>
      </c>
      <c r="B478" s="2" t="s">
        <v>943</v>
      </c>
      <c r="C478" s="2" t="s">
        <v>30</v>
      </c>
      <c r="D478" s="2"/>
      <c r="E478" s="2" t="s">
        <v>26</v>
      </c>
      <c r="F478" s="2" t="s">
        <v>17</v>
      </c>
      <c r="G478" s="2" t="s">
        <v>944</v>
      </c>
      <c r="H478" s="8">
        <v>0.34</v>
      </c>
      <c r="I478" s="8">
        <v>1.5</v>
      </c>
      <c r="J478" s="8">
        <v>1</v>
      </c>
      <c r="K478" s="9"/>
      <c r="L478" s="8"/>
      <c r="M478" s="8"/>
    </row>
    <row r="479" spans="1:13" ht="17.25" customHeight="1" x14ac:dyDescent="0.2">
      <c r="A479" s="2" t="s">
        <v>954</v>
      </c>
      <c r="B479" s="2" t="s">
        <v>943</v>
      </c>
      <c r="C479" s="2" t="s">
        <v>162</v>
      </c>
      <c r="D479" s="2"/>
      <c r="E479" s="2" t="s">
        <v>26</v>
      </c>
      <c r="F479" s="2" t="s">
        <v>17</v>
      </c>
      <c r="G479" s="2" t="s">
        <v>944</v>
      </c>
      <c r="H479" s="8">
        <v>0.255</v>
      </c>
      <c r="I479" s="8">
        <v>1.61</v>
      </c>
      <c r="J479" s="8">
        <v>2.67</v>
      </c>
      <c r="K479" s="9"/>
      <c r="L479" s="8"/>
      <c r="M479" s="8"/>
    </row>
    <row r="480" spans="1:13" ht="17.25" customHeight="1" x14ac:dyDescent="0.2">
      <c r="A480" s="2" t="s">
        <v>955</v>
      </c>
      <c r="B480" s="2" t="s">
        <v>943</v>
      </c>
      <c r="C480" s="2" t="s">
        <v>30</v>
      </c>
      <c r="D480" s="2"/>
      <c r="E480" s="2" t="s">
        <v>26</v>
      </c>
      <c r="F480" s="2" t="s">
        <v>17</v>
      </c>
      <c r="G480" s="2" t="s">
        <v>944</v>
      </c>
      <c r="H480" s="8">
        <v>0.17449999999999999</v>
      </c>
      <c r="I480" s="8">
        <v>6.81</v>
      </c>
      <c r="J480" s="8"/>
      <c r="K480" s="9"/>
      <c r="L480" s="8"/>
      <c r="M480" s="8"/>
    </row>
    <row r="481" spans="1:13" ht="17.25" customHeight="1" x14ac:dyDescent="0.2">
      <c r="A481" s="2" t="s">
        <v>956</v>
      </c>
      <c r="B481" s="2" t="s">
        <v>943</v>
      </c>
      <c r="C481" s="2" t="s">
        <v>24</v>
      </c>
      <c r="D481" s="2" t="s">
        <v>957</v>
      </c>
      <c r="E481" s="2" t="s">
        <v>26</v>
      </c>
      <c r="F481" s="2" t="s">
        <v>17</v>
      </c>
      <c r="G481" s="2" t="s">
        <v>944</v>
      </c>
      <c r="H481" s="8">
        <v>22.88</v>
      </c>
      <c r="I481" s="8"/>
      <c r="J481" s="8">
        <v>1.67</v>
      </c>
      <c r="K481" s="9"/>
      <c r="L481" s="8">
        <v>3.5</v>
      </c>
      <c r="M481" s="8"/>
    </row>
    <row r="482" spans="1:13" ht="17.25" customHeight="1" x14ac:dyDescent="0.2">
      <c r="A482" s="2" t="s">
        <v>958</v>
      </c>
      <c r="B482" s="2" t="s">
        <v>959</v>
      </c>
      <c r="C482" s="2" t="s">
        <v>132</v>
      </c>
      <c r="D482" s="2"/>
      <c r="E482" s="2" t="s">
        <v>26</v>
      </c>
      <c r="F482" s="2" t="s">
        <v>960</v>
      </c>
      <c r="G482" s="2" t="s">
        <v>961</v>
      </c>
      <c r="H482" s="8">
        <v>32.200000000000003</v>
      </c>
      <c r="I482" s="8"/>
      <c r="J482" s="8">
        <v>0.74</v>
      </c>
      <c r="K482" s="9"/>
      <c r="L482" s="8"/>
      <c r="M482" s="8"/>
    </row>
    <row r="483" spans="1:13" ht="17.25" customHeight="1" x14ac:dyDescent="0.2">
      <c r="A483" s="2" t="s">
        <v>962</v>
      </c>
      <c r="B483" s="2" t="s">
        <v>959</v>
      </c>
      <c r="C483" s="2" t="s">
        <v>132</v>
      </c>
      <c r="D483" s="2"/>
      <c r="E483" s="2" t="s">
        <v>26</v>
      </c>
      <c r="F483" s="2" t="s">
        <v>963</v>
      </c>
      <c r="G483" s="2" t="s">
        <v>961</v>
      </c>
      <c r="H483" s="8">
        <v>11.6</v>
      </c>
      <c r="I483" s="8"/>
      <c r="J483" s="8">
        <f>(0.37/0.46)*0.58</f>
        <v>0.46652173913043471</v>
      </c>
      <c r="K483" s="9"/>
      <c r="L483" s="8"/>
      <c r="M483" s="8"/>
    </row>
    <row r="484" spans="1:13" ht="17.25" customHeight="1" x14ac:dyDescent="0.2">
      <c r="A484" s="2" t="s">
        <v>964</v>
      </c>
      <c r="B484" s="2" t="s">
        <v>965</v>
      </c>
      <c r="C484" s="2" t="s">
        <v>132</v>
      </c>
      <c r="D484" s="2"/>
      <c r="E484" s="2" t="s">
        <v>26</v>
      </c>
      <c r="F484" s="2" t="s">
        <v>966</v>
      </c>
      <c r="G484" s="2" t="s">
        <v>967</v>
      </c>
      <c r="H484" s="8">
        <f>6.319+10.644+3.955</f>
        <v>20.917999999999999</v>
      </c>
      <c r="I484" s="10">
        <f>(4.7*4.464+5*10.644+3.9*3.955)/$H484</f>
        <v>4.2846017783726937</v>
      </c>
      <c r="J484" s="10">
        <f>(5.8*4.464+6.8*10.644+4.3*3.955)/$H484</f>
        <v>5.5108949230327946</v>
      </c>
      <c r="K484" s="12">
        <f>(142*4.464+147*10.644+118*3.955)/$H484</f>
        <v>127.41399751410269</v>
      </c>
      <c r="L484" s="8"/>
      <c r="M484" s="8">
        <f>(8.04*6.319+8.55*10.644+8.34*3.955)/$H484</f>
        <v>8.3562319533416201</v>
      </c>
    </row>
    <row r="485" spans="1:13" ht="17.25" customHeight="1" x14ac:dyDescent="0.2">
      <c r="A485" s="2" t="s">
        <v>968</v>
      </c>
      <c r="B485" s="2" t="s">
        <v>965</v>
      </c>
      <c r="C485" s="2" t="s">
        <v>132</v>
      </c>
      <c r="D485" s="2"/>
      <c r="E485" s="2" t="s">
        <v>26</v>
      </c>
      <c r="F485" s="2" t="s">
        <v>966</v>
      </c>
      <c r="G485" s="2" t="s">
        <v>967</v>
      </c>
      <c r="H485" s="8">
        <f>0.837+0.507+0.49</f>
        <v>1.8339999999999999</v>
      </c>
      <c r="I485" s="10">
        <f>(7.5*0.837+7.7*0.507+6.4*0.49)/$H485</f>
        <v>7.2613958560523448</v>
      </c>
      <c r="J485" s="10">
        <f>(10.5*0.837+10.7*0.507+8.8*0.49)/$H485</f>
        <v>10.101090512540896</v>
      </c>
      <c r="K485" s="12">
        <f>(197*0.837+207*0.507+169*0.49)/$H485</f>
        <v>192.28353326063248</v>
      </c>
      <c r="L485" s="8"/>
      <c r="M485" s="8"/>
    </row>
    <row r="486" spans="1:13" ht="17.25" customHeight="1" x14ac:dyDescent="0.2">
      <c r="A486" s="2" t="s">
        <v>969</v>
      </c>
      <c r="B486" s="2" t="s">
        <v>970</v>
      </c>
      <c r="C486" s="2" t="s">
        <v>14</v>
      </c>
      <c r="D486" s="2" t="s">
        <v>38</v>
      </c>
      <c r="E486" s="2" t="s">
        <v>26</v>
      </c>
      <c r="F486" s="2" t="s">
        <v>971</v>
      </c>
      <c r="G486" s="2" t="s">
        <v>972</v>
      </c>
      <c r="H486" s="8">
        <v>0.49199999999999999</v>
      </c>
      <c r="I486" s="8">
        <v>2.2000000000000002</v>
      </c>
      <c r="J486" s="8">
        <v>4.7</v>
      </c>
      <c r="K486" s="9"/>
      <c r="L486" s="8"/>
      <c r="M486" s="8"/>
    </row>
    <row r="487" spans="1:13" ht="17.25" customHeight="1" x14ac:dyDescent="0.2">
      <c r="A487" s="2" t="s">
        <v>973</v>
      </c>
      <c r="B487" s="2" t="s">
        <v>970</v>
      </c>
      <c r="C487" s="2" t="s">
        <v>14</v>
      </c>
      <c r="D487" s="2" t="s">
        <v>38</v>
      </c>
      <c r="E487" s="2" t="s">
        <v>26</v>
      </c>
      <c r="F487" s="2" t="s">
        <v>971</v>
      </c>
      <c r="G487" s="2" t="s">
        <v>972</v>
      </c>
      <c r="H487" s="8">
        <v>4.4249999999999998</v>
      </c>
      <c r="I487" s="10">
        <v>3</v>
      </c>
      <c r="J487" s="8">
        <v>8.6</v>
      </c>
      <c r="K487" s="8">
        <v>17.899999999999999</v>
      </c>
      <c r="L487" s="8"/>
      <c r="M487" s="8"/>
    </row>
    <row r="488" spans="1:13" ht="17.25" customHeight="1" x14ac:dyDescent="0.2">
      <c r="A488" s="2" t="s">
        <v>974</v>
      </c>
      <c r="B488" s="2" t="s">
        <v>970</v>
      </c>
      <c r="C488" s="2" t="s">
        <v>14</v>
      </c>
      <c r="D488" s="2" t="s">
        <v>15</v>
      </c>
      <c r="E488" s="7" t="s">
        <v>16</v>
      </c>
      <c r="F488" s="2" t="s">
        <v>95</v>
      </c>
      <c r="G488" s="2" t="s">
        <v>975</v>
      </c>
      <c r="H488" s="8">
        <v>0.22</v>
      </c>
      <c r="I488" s="8">
        <v>2.1</v>
      </c>
      <c r="J488" s="8">
        <v>9.3000000000000007</v>
      </c>
      <c r="K488" s="9"/>
      <c r="L488" s="8">
        <v>0.7</v>
      </c>
      <c r="M488" s="8"/>
    </row>
    <row r="489" spans="1:13" ht="17.25" customHeight="1" x14ac:dyDescent="0.2">
      <c r="A489" s="2" t="s">
        <v>976</v>
      </c>
      <c r="B489" s="2" t="s">
        <v>970</v>
      </c>
      <c r="C489" s="2" t="s">
        <v>14</v>
      </c>
      <c r="D489" s="2" t="s">
        <v>38</v>
      </c>
      <c r="E489" s="2" t="s">
        <v>26</v>
      </c>
      <c r="F489" s="2" t="s">
        <v>95</v>
      </c>
      <c r="G489" s="2" t="s">
        <v>977</v>
      </c>
      <c r="H489" s="10">
        <v>132</v>
      </c>
      <c r="I489" s="8">
        <v>0.4</v>
      </c>
      <c r="J489" s="10">
        <v>4</v>
      </c>
      <c r="K489" s="9"/>
      <c r="L489" s="8"/>
      <c r="M489" s="8"/>
    </row>
    <row r="490" spans="1:13" ht="17.25" customHeight="1" x14ac:dyDescent="0.2">
      <c r="A490" s="2" t="s">
        <v>978</v>
      </c>
      <c r="B490" s="2" t="s">
        <v>970</v>
      </c>
      <c r="C490" s="2" t="s">
        <v>979</v>
      </c>
      <c r="D490" s="2" t="s">
        <v>980</v>
      </c>
      <c r="E490" s="2" t="s">
        <v>26</v>
      </c>
      <c r="F490" s="2" t="s">
        <v>981</v>
      </c>
      <c r="G490" s="2" t="s">
        <v>82</v>
      </c>
      <c r="H490" s="9">
        <v>956</v>
      </c>
      <c r="I490" s="8"/>
      <c r="J490" s="11">
        <v>0.2351</v>
      </c>
      <c r="K490" s="9"/>
      <c r="L490" s="8"/>
      <c r="M490" s="8"/>
    </row>
    <row r="491" spans="1:13" ht="17.25" customHeight="1" x14ac:dyDescent="0.2">
      <c r="A491" s="2" t="s">
        <v>982</v>
      </c>
      <c r="B491" s="2" t="s">
        <v>970</v>
      </c>
      <c r="C491" s="2" t="s">
        <v>14</v>
      </c>
      <c r="D491" s="2" t="s">
        <v>38</v>
      </c>
      <c r="E491" s="2" t="s">
        <v>26</v>
      </c>
      <c r="F491" s="2" t="s">
        <v>971</v>
      </c>
      <c r="G491" s="2" t="s">
        <v>972</v>
      </c>
      <c r="H491" s="8">
        <v>0.2</v>
      </c>
      <c r="I491" s="8">
        <v>3.4</v>
      </c>
      <c r="J491" s="10">
        <v>9</v>
      </c>
      <c r="K491" s="9"/>
      <c r="L491" s="8"/>
      <c r="M491" s="8"/>
    </row>
    <row r="492" spans="1:13" ht="17.25" customHeight="1" x14ac:dyDescent="0.2">
      <c r="A492" s="2" t="s">
        <v>983</v>
      </c>
      <c r="B492" s="2" t="s">
        <v>970</v>
      </c>
      <c r="C492" s="2" t="s">
        <v>14</v>
      </c>
      <c r="D492" s="2" t="s">
        <v>38</v>
      </c>
      <c r="E492" s="2" t="s">
        <v>26</v>
      </c>
      <c r="F492" s="2" t="s">
        <v>971</v>
      </c>
      <c r="G492" s="2" t="s">
        <v>972</v>
      </c>
      <c r="H492" s="8">
        <v>1.7</v>
      </c>
      <c r="I492" s="8">
        <v>2.5</v>
      </c>
      <c r="J492" s="8">
        <v>6.9</v>
      </c>
      <c r="K492" s="9"/>
      <c r="L492" s="8"/>
      <c r="M492" s="8"/>
    </row>
    <row r="493" spans="1:13" ht="17.25" customHeight="1" x14ac:dyDescent="0.2">
      <c r="A493" s="2" t="s">
        <v>984</v>
      </c>
      <c r="B493" s="2" t="s">
        <v>985</v>
      </c>
      <c r="C493" s="2" t="s">
        <v>30</v>
      </c>
      <c r="D493" s="2" t="s">
        <v>49</v>
      </c>
      <c r="E493" s="2" t="s">
        <v>26</v>
      </c>
      <c r="F493" s="2" t="s">
        <v>986</v>
      </c>
      <c r="G493" s="2" t="s">
        <v>583</v>
      </c>
      <c r="H493" s="8">
        <f>27.1+4.6</f>
        <v>31.700000000000003</v>
      </c>
      <c r="I493" s="8">
        <f>(0.71*27.1+0.34*4.6)/$H493</f>
        <v>0.65630914826498421</v>
      </c>
      <c r="J493" s="8">
        <f>(1.28*27.1+0.66*4.6)/$H493</f>
        <v>1.1900315457413249</v>
      </c>
      <c r="K493" s="12">
        <f>(422*27.1+254*4.6)/$H493</f>
        <v>397.62145110410091</v>
      </c>
      <c r="L493" s="8"/>
      <c r="M493" s="8">
        <f>(0.43*27.1+0.59*4.6)/$H493</f>
        <v>0.45321766561514193</v>
      </c>
    </row>
    <row r="494" spans="1:13" ht="17.25" customHeight="1" x14ac:dyDescent="0.2">
      <c r="A494" s="2" t="s">
        <v>987</v>
      </c>
      <c r="B494" s="2" t="s">
        <v>985</v>
      </c>
      <c r="C494" s="2" t="s">
        <v>815</v>
      </c>
      <c r="D494" s="2" t="s">
        <v>988</v>
      </c>
      <c r="E494" s="2" t="s">
        <v>26</v>
      </c>
      <c r="F494" s="2" t="s">
        <v>989</v>
      </c>
      <c r="G494" s="2" t="s">
        <v>515</v>
      </c>
      <c r="H494" s="11">
        <f>0.571482+1.320154+0.169705+0.007366+0.068688+0.036291</f>
        <v>2.173686</v>
      </c>
      <c r="I494" s="8">
        <f>(2.52*0.571482+2.36*1.320154+1.96*0.169705+3.26*0.007366+2.53*0.068688+2.03*0.036291)/$H494</f>
        <v>2.3737487429187105</v>
      </c>
      <c r="J494" s="8">
        <f>(8.79*0.571482+6.69*1.320154+4.42*0.169705+4.04*0.007366+3.15*0.068688+2.79*0.036291)/$H494</f>
        <v>6.8789286355066928</v>
      </c>
      <c r="K494" s="10">
        <f>(14.01*0.571482+14.35*1.320154+12.53*0.169705+14.98*0.007366+12.23*0.068688+10.47*0.036291)/$H494</f>
        <v>13.988883426585073</v>
      </c>
      <c r="L494" s="8"/>
      <c r="M494" s="8"/>
    </row>
    <row r="495" spans="1:13" ht="17.25" customHeight="1" x14ac:dyDescent="0.2">
      <c r="A495" s="2" t="s">
        <v>990</v>
      </c>
      <c r="B495" s="2" t="s">
        <v>991</v>
      </c>
      <c r="C495" s="2" t="s">
        <v>132</v>
      </c>
      <c r="D495" s="2"/>
      <c r="E495" s="2" t="s">
        <v>26</v>
      </c>
      <c r="F495" s="2" t="s">
        <v>625</v>
      </c>
      <c r="G495" s="2" t="s">
        <v>40</v>
      </c>
      <c r="H495" s="8">
        <f>1.06+2.86+2.5</f>
        <v>6.42</v>
      </c>
      <c r="I495" s="8">
        <f>(3.45*1.06+1.85*2.86+2.26*2.5)/$H495</f>
        <v>2.2738317757009345</v>
      </c>
      <c r="J495" s="8">
        <f>(6.46*1.06+5.23*2.86+5.57*2.5)/$H495</f>
        <v>5.565482866043614</v>
      </c>
      <c r="K495" s="10">
        <f>(116.2*1.06+54.8*2.86+49.1*2.5)/$H495</f>
        <v>62.718068535825545</v>
      </c>
      <c r="L495" s="8"/>
      <c r="M495" s="8"/>
    </row>
    <row r="496" spans="1:13" ht="17.25" customHeight="1" x14ac:dyDescent="0.2">
      <c r="A496" s="2" t="s">
        <v>992</v>
      </c>
      <c r="B496" s="2" t="s">
        <v>993</v>
      </c>
      <c r="C496" s="2" t="s">
        <v>24</v>
      </c>
      <c r="D496" s="2"/>
      <c r="E496" s="7" t="s">
        <v>16</v>
      </c>
      <c r="F496" s="2" t="s">
        <v>994</v>
      </c>
      <c r="G496" s="2" t="s">
        <v>583</v>
      </c>
      <c r="H496" s="8">
        <v>0.1</v>
      </c>
      <c r="I496" s="8"/>
      <c r="J496" s="8">
        <v>3.5</v>
      </c>
      <c r="K496" s="9">
        <v>42</v>
      </c>
      <c r="L496" s="8">
        <v>0.8</v>
      </c>
      <c r="M496" s="8">
        <v>0.52</v>
      </c>
    </row>
    <row r="497" spans="1:13" ht="17.25" customHeight="1" x14ac:dyDescent="0.2">
      <c r="A497" s="2" t="s">
        <v>995</v>
      </c>
      <c r="B497" s="2" t="s">
        <v>993</v>
      </c>
      <c r="C497" s="2" t="s">
        <v>14</v>
      </c>
      <c r="D497" s="2" t="s">
        <v>15</v>
      </c>
      <c r="E497" s="7" t="s">
        <v>16</v>
      </c>
      <c r="F497" s="2" t="s">
        <v>996</v>
      </c>
      <c r="G497" s="2" t="s">
        <v>841</v>
      </c>
      <c r="H497" s="8">
        <v>8.8000000000000007</v>
      </c>
      <c r="I497" s="8">
        <v>3.1</v>
      </c>
      <c r="J497" s="8">
        <v>4.2</v>
      </c>
      <c r="K497" s="9"/>
      <c r="L497" s="8">
        <v>1.6</v>
      </c>
      <c r="M497" s="8"/>
    </row>
    <row r="498" spans="1:13" ht="17.25" customHeight="1" x14ac:dyDescent="0.2">
      <c r="A498" s="2" t="s">
        <v>997</v>
      </c>
      <c r="B498" s="2" t="s">
        <v>993</v>
      </c>
      <c r="C498" s="2" t="s">
        <v>14</v>
      </c>
      <c r="D498" s="2" t="s">
        <v>38</v>
      </c>
      <c r="E498" s="7" t="s">
        <v>16</v>
      </c>
      <c r="F498" s="2" t="s">
        <v>994</v>
      </c>
      <c r="G498" s="2" t="s">
        <v>583</v>
      </c>
      <c r="H498" s="8">
        <v>8.3000000000000007</v>
      </c>
      <c r="I498" s="9">
        <v>6</v>
      </c>
      <c r="J498" s="9">
        <v>6</v>
      </c>
      <c r="K498" s="9"/>
      <c r="L498" s="9">
        <v>2</v>
      </c>
      <c r="M498" s="8"/>
    </row>
    <row r="499" spans="1:13" ht="17.25" customHeight="1" x14ac:dyDescent="0.2">
      <c r="A499" s="2" t="s">
        <v>998</v>
      </c>
      <c r="B499" s="2" t="s">
        <v>993</v>
      </c>
      <c r="C499" s="2" t="s">
        <v>24</v>
      </c>
      <c r="D499" s="2"/>
      <c r="E499" s="2" t="s">
        <v>26</v>
      </c>
      <c r="F499" s="2" t="s">
        <v>999</v>
      </c>
      <c r="G499" s="2" t="s">
        <v>438</v>
      </c>
      <c r="H499" s="8">
        <f>1.86+0.149</f>
        <v>2.0089999999999999</v>
      </c>
      <c r="I499" s="8">
        <f>(3.83*1.86+1.89*0.149)/$H499</f>
        <v>3.6861174713787954</v>
      </c>
      <c r="J499" s="8">
        <f>(5.8*1.86+4.56*0.149)/$H499</f>
        <v>5.7080338476854156</v>
      </c>
      <c r="K499" s="12">
        <f>(36*1.86+29*0.149)/$H499</f>
        <v>35.480836236933804</v>
      </c>
      <c r="L499" s="8">
        <f>(2.62*1.86+1.7*0.149)/$H499</f>
        <v>2.5517670482827284</v>
      </c>
      <c r="M499" s="8">
        <f>(0.48*1.86+0.44*0.149)/$H499</f>
        <v>0.47703334992533603</v>
      </c>
    </row>
    <row r="500" spans="1:13" ht="17.25" customHeight="1" x14ac:dyDescent="0.2">
      <c r="A500" s="2" t="s">
        <v>1000</v>
      </c>
      <c r="B500" s="2" t="s">
        <v>993</v>
      </c>
      <c r="C500" s="2" t="s">
        <v>14</v>
      </c>
      <c r="D500" s="2" t="s">
        <v>38</v>
      </c>
      <c r="E500" s="7" t="s">
        <v>16</v>
      </c>
      <c r="F500" s="2" t="s">
        <v>17</v>
      </c>
      <c r="G500" s="2" t="s">
        <v>20</v>
      </c>
      <c r="H500" s="8">
        <v>1.22</v>
      </c>
      <c r="I500" s="8">
        <v>2.57</v>
      </c>
      <c r="J500" s="8">
        <v>3.84</v>
      </c>
      <c r="K500" s="9"/>
      <c r="L500" s="8"/>
      <c r="M500" s="8"/>
    </row>
    <row r="501" spans="1:13" ht="17.25" customHeight="1" x14ac:dyDescent="0.2">
      <c r="A501" s="2" t="s">
        <v>1001</v>
      </c>
      <c r="B501" s="2" t="s">
        <v>993</v>
      </c>
      <c r="C501" s="2" t="s">
        <v>14</v>
      </c>
      <c r="D501" s="2" t="s">
        <v>38</v>
      </c>
      <c r="E501" s="7" t="s">
        <v>16</v>
      </c>
      <c r="F501" s="2" t="s">
        <v>17</v>
      </c>
      <c r="G501" s="2" t="s">
        <v>20</v>
      </c>
      <c r="H501" s="9">
        <v>16</v>
      </c>
      <c r="I501" s="8">
        <v>1.17</v>
      </c>
      <c r="J501" s="8">
        <v>5.85</v>
      </c>
      <c r="K501" s="9"/>
      <c r="L501" s="8"/>
      <c r="M501" s="8"/>
    </row>
    <row r="502" spans="1:13" ht="17.25" customHeight="1" x14ac:dyDescent="0.2">
      <c r="A502" s="2" t="s">
        <v>1002</v>
      </c>
      <c r="B502" s="2" t="s">
        <v>993</v>
      </c>
      <c r="C502" s="2" t="s">
        <v>14</v>
      </c>
      <c r="D502" s="2" t="s">
        <v>38</v>
      </c>
      <c r="E502" s="2" t="s">
        <v>26</v>
      </c>
      <c r="F502" s="2" t="s">
        <v>1003</v>
      </c>
      <c r="G502" s="2" t="s">
        <v>977</v>
      </c>
      <c r="H502" s="8">
        <f>5.4+10.9</f>
        <v>16.3</v>
      </c>
      <c r="I502" s="10">
        <f>(1.6*5.4+1.7*10.9)/$H502</f>
        <v>1.6668711656441717</v>
      </c>
      <c r="J502" s="10">
        <f>(4.5*5.4+3.8*10.9)/$H502</f>
        <v>4.0319018404907974</v>
      </c>
      <c r="K502" s="12">
        <f>(66*5.4+55*10.9)/$H502</f>
        <v>58.644171779141111</v>
      </c>
      <c r="L502" s="8"/>
      <c r="M502" s="8"/>
    </row>
    <row r="503" spans="1:13" ht="17.25" customHeight="1" x14ac:dyDescent="0.2">
      <c r="A503" s="2" t="s">
        <v>1004</v>
      </c>
      <c r="B503" s="2" t="s">
        <v>993</v>
      </c>
      <c r="C503" s="2" t="s">
        <v>14</v>
      </c>
      <c r="D503" s="2" t="s">
        <v>38</v>
      </c>
      <c r="E503" s="7" t="s">
        <v>16</v>
      </c>
      <c r="F503" s="2" t="s">
        <v>17</v>
      </c>
      <c r="G503" s="2" t="s">
        <v>20</v>
      </c>
      <c r="H503" s="9">
        <v>7</v>
      </c>
      <c r="I503" s="8">
        <v>4.5999999999999996</v>
      </c>
      <c r="J503" s="8">
        <v>1.71</v>
      </c>
      <c r="K503" s="9"/>
      <c r="L503" s="8"/>
      <c r="M503" s="8"/>
    </row>
    <row r="504" spans="1:13" ht="17.25" customHeight="1" x14ac:dyDescent="0.2">
      <c r="A504" s="2" t="s">
        <v>1005</v>
      </c>
      <c r="B504" s="2" t="s">
        <v>993</v>
      </c>
      <c r="C504" s="2" t="s">
        <v>24</v>
      </c>
      <c r="D504" s="2"/>
      <c r="E504" s="7" t="s">
        <v>16</v>
      </c>
      <c r="F504" s="2" t="s">
        <v>994</v>
      </c>
      <c r="G504" s="2" t="s">
        <v>583</v>
      </c>
      <c r="H504" s="8">
        <v>3.5</v>
      </c>
      <c r="I504" s="8"/>
      <c r="J504" s="8">
        <v>1.3</v>
      </c>
      <c r="K504" s="9"/>
      <c r="L504" s="8">
        <v>1.7</v>
      </c>
      <c r="M504" s="8"/>
    </row>
    <row r="505" spans="1:13" ht="17.25" customHeight="1" x14ac:dyDescent="0.2">
      <c r="A505" s="2" t="s">
        <v>1006</v>
      </c>
      <c r="B505" s="2" t="s">
        <v>993</v>
      </c>
      <c r="C505" s="2" t="s">
        <v>14</v>
      </c>
      <c r="D505" s="2" t="s">
        <v>38</v>
      </c>
      <c r="E505" s="7" t="s">
        <v>16</v>
      </c>
      <c r="F505" s="2" t="s">
        <v>17</v>
      </c>
      <c r="G505" s="2" t="s">
        <v>20</v>
      </c>
      <c r="H505" s="8">
        <v>0.23</v>
      </c>
      <c r="I505" s="8">
        <v>1.64</v>
      </c>
      <c r="J505" s="9">
        <v>1</v>
      </c>
      <c r="K505" s="9"/>
      <c r="L505" s="8"/>
      <c r="M505" s="8"/>
    </row>
    <row r="506" spans="1:13" ht="17.25" customHeight="1" x14ac:dyDescent="0.2">
      <c r="A506" s="2" t="s">
        <v>1007</v>
      </c>
      <c r="B506" s="2" t="s">
        <v>993</v>
      </c>
      <c r="C506" s="2" t="s">
        <v>14</v>
      </c>
      <c r="D506" s="2" t="s">
        <v>38</v>
      </c>
      <c r="E506" s="2" t="s">
        <v>26</v>
      </c>
      <c r="F506" s="2" t="s">
        <v>17</v>
      </c>
      <c r="G506" s="2" t="s">
        <v>1008</v>
      </c>
      <c r="H506" s="8">
        <v>7.1</v>
      </c>
      <c r="I506" s="8">
        <v>0.86</v>
      </c>
      <c r="J506" s="8">
        <v>1.4</v>
      </c>
      <c r="K506" s="9"/>
      <c r="L506" s="8">
        <v>0.36</v>
      </c>
      <c r="M506" s="8"/>
    </row>
    <row r="507" spans="1:13" ht="17.25" customHeight="1" x14ac:dyDescent="0.2">
      <c r="A507" s="2" t="s">
        <v>1009</v>
      </c>
      <c r="B507" s="2" t="s">
        <v>993</v>
      </c>
      <c r="C507" s="2" t="s">
        <v>24</v>
      </c>
      <c r="D507" s="2"/>
      <c r="E507" s="7" t="s">
        <v>16</v>
      </c>
      <c r="F507" s="2" t="s">
        <v>994</v>
      </c>
      <c r="G507" s="2" t="s">
        <v>583</v>
      </c>
      <c r="H507" s="8">
        <v>0.3</v>
      </c>
      <c r="I507" s="8">
        <v>0.5</v>
      </c>
      <c r="J507" s="8">
        <v>6.4</v>
      </c>
      <c r="K507" s="9"/>
      <c r="L507" s="8">
        <v>1.4</v>
      </c>
      <c r="M507" s="8"/>
    </row>
    <row r="508" spans="1:13" ht="17.25" customHeight="1" x14ac:dyDescent="0.2">
      <c r="A508" s="2" t="s">
        <v>1010</v>
      </c>
      <c r="B508" s="2" t="s">
        <v>993</v>
      </c>
      <c r="C508" s="2" t="s">
        <v>14</v>
      </c>
      <c r="D508" s="2" t="s">
        <v>38</v>
      </c>
      <c r="E508" s="7" t="s">
        <v>16</v>
      </c>
      <c r="F508" s="2" t="s">
        <v>994</v>
      </c>
      <c r="G508" s="2" t="s">
        <v>583</v>
      </c>
      <c r="H508" s="9">
        <v>1</v>
      </c>
      <c r="I508" s="8">
        <v>5.4</v>
      </c>
      <c r="J508" s="8">
        <v>7.3</v>
      </c>
      <c r="K508" s="9"/>
      <c r="L508" s="9">
        <v>2</v>
      </c>
      <c r="M508" s="8"/>
    </row>
    <row r="509" spans="1:13" ht="17.25" customHeight="1" x14ac:dyDescent="0.2">
      <c r="A509" s="2" t="s">
        <v>1011</v>
      </c>
      <c r="B509" s="2" t="s">
        <v>993</v>
      </c>
      <c r="C509" s="2" t="s">
        <v>14</v>
      </c>
      <c r="D509" s="2" t="s">
        <v>38</v>
      </c>
      <c r="E509" s="7" t="s">
        <v>16</v>
      </c>
      <c r="F509" s="2" t="s">
        <v>17</v>
      </c>
      <c r="G509" s="2" t="s">
        <v>20</v>
      </c>
      <c r="H509" s="8">
        <v>17.489999999999998</v>
      </c>
      <c r="I509" s="8">
        <v>0.44</v>
      </c>
      <c r="J509" s="8">
        <v>1.84</v>
      </c>
      <c r="K509" s="9"/>
      <c r="L509" s="8"/>
      <c r="M509" s="8"/>
    </row>
    <row r="510" spans="1:13" ht="17.25" customHeight="1" x14ac:dyDescent="0.2">
      <c r="A510" s="2" t="s">
        <v>1012</v>
      </c>
      <c r="B510" s="2" t="s">
        <v>993</v>
      </c>
      <c r="C510" s="2" t="s">
        <v>14</v>
      </c>
      <c r="D510" s="2" t="s">
        <v>38</v>
      </c>
      <c r="E510" s="7" t="s">
        <v>16</v>
      </c>
      <c r="F510" s="2" t="s">
        <v>17</v>
      </c>
      <c r="G510" s="2" t="s">
        <v>20</v>
      </c>
      <c r="H510" s="8">
        <v>0.77</v>
      </c>
      <c r="I510" s="8">
        <f>5.35/2</f>
        <v>2.6749999999999998</v>
      </c>
      <c r="J510" s="8"/>
      <c r="K510" s="9"/>
      <c r="L510" s="8"/>
      <c r="M510" s="8"/>
    </row>
    <row r="511" spans="1:13" ht="17.25" customHeight="1" x14ac:dyDescent="0.2">
      <c r="A511" s="2" t="s">
        <v>1013</v>
      </c>
      <c r="B511" s="2" t="s">
        <v>993</v>
      </c>
      <c r="C511" s="2" t="s">
        <v>14</v>
      </c>
      <c r="D511" s="2" t="s">
        <v>38</v>
      </c>
      <c r="E511" s="7" t="s">
        <v>16</v>
      </c>
      <c r="F511" s="2" t="s">
        <v>17</v>
      </c>
      <c r="G511" s="2" t="s">
        <v>20</v>
      </c>
      <c r="H511" s="8">
        <v>2.79</v>
      </c>
      <c r="I511" s="9">
        <v>4</v>
      </c>
      <c r="J511" s="8">
        <v>4.2300000000000004</v>
      </c>
      <c r="K511" s="9">
        <v>62</v>
      </c>
      <c r="L511" s="8">
        <v>0.1</v>
      </c>
      <c r="M511" s="8"/>
    </row>
    <row r="512" spans="1:13" ht="17.25" customHeight="1" x14ac:dyDescent="0.2">
      <c r="A512" s="2" t="s">
        <v>1014</v>
      </c>
      <c r="B512" s="2" t="s">
        <v>993</v>
      </c>
      <c r="C512" s="2" t="s">
        <v>24</v>
      </c>
      <c r="D512" s="2"/>
      <c r="E512" s="7" t="s">
        <v>16</v>
      </c>
      <c r="F512" s="2" t="s">
        <v>994</v>
      </c>
      <c r="G512" s="2" t="s">
        <v>583</v>
      </c>
      <c r="H512" s="9">
        <v>1</v>
      </c>
      <c r="I512" s="8"/>
      <c r="J512" s="8">
        <v>6.7</v>
      </c>
      <c r="K512" s="9"/>
      <c r="L512" s="8">
        <v>0.4</v>
      </c>
      <c r="M512" s="8"/>
    </row>
    <row r="513" spans="1:13" ht="17.25" customHeight="1" x14ac:dyDescent="0.2">
      <c r="A513" s="2" t="s">
        <v>1015</v>
      </c>
      <c r="B513" s="2" t="s">
        <v>993</v>
      </c>
      <c r="C513" s="2" t="s">
        <v>14</v>
      </c>
      <c r="D513" s="2" t="s">
        <v>38</v>
      </c>
      <c r="E513" s="7" t="s">
        <v>16</v>
      </c>
      <c r="F513" s="2" t="s">
        <v>17</v>
      </c>
      <c r="G513" s="2" t="s">
        <v>20</v>
      </c>
      <c r="H513" s="8">
        <v>9.01</v>
      </c>
      <c r="I513" s="8">
        <v>2.56</v>
      </c>
      <c r="J513" s="8">
        <v>3.22</v>
      </c>
      <c r="K513" s="9"/>
      <c r="L513" s="8"/>
      <c r="M513" s="8"/>
    </row>
    <row r="514" spans="1:13" ht="17.25" customHeight="1" x14ac:dyDescent="0.2">
      <c r="A514" s="2" t="s">
        <v>1016</v>
      </c>
      <c r="B514" s="2" t="s">
        <v>993</v>
      </c>
      <c r="C514" s="2" t="s">
        <v>14</v>
      </c>
      <c r="D514" s="2" t="s">
        <v>38</v>
      </c>
      <c r="E514" s="2" t="s">
        <v>26</v>
      </c>
      <c r="F514" s="2" t="s">
        <v>1003</v>
      </c>
      <c r="G514" s="2" t="s">
        <v>977</v>
      </c>
      <c r="H514" s="8">
        <f>1.1+0.4+6.2</f>
        <v>7.7</v>
      </c>
      <c r="I514" s="10">
        <f>(2*1.1+1*0.4+1.5*6.2)/$H514</f>
        <v>1.5454545454545454</v>
      </c>
      <c r="J514" s="10">
        <f>(13.1*1.1+7*0.4+10.4*6.2)/$H514</f>
        <v>10.609090909090909</v>
      </c>
      <c r="K514" s="12">
        <f>(36*1.1+13*0.4+32*6.2)/$H514</f>
        <v>31.584415584415584</v>
      </c>
      <c r="L514" s="8"/>
      <c r="M514" s="8"/>
    </row>
    <row r="515" spans="1:13" ht="17.25" customHeight="1" x14ac:dyDescent="0.2">
      <c r="A515" s="2" t="s">
        <v>1017</v>
      </c>
      <c r="B515" s="2" t="s">
        <v>993</v>
      </c>
      <c r="C515" s="2" t="s">
        <v>14</v>
      </c>
      <c r="D515" s="2" t="s">
        <v>38</v>
      </c>
      <c r="E515" s="7" t="s">
        <v>16</v>
      </c>
      <c r="F515" s="2" t="s">
        <v>17</v>
      </c>
      <c r="G515" s="2" t="s">
        <v>20</v>
      </c>
      <c r="H515" s="8">
        <v>8.1999999999999993</v>
      </c>
      <c r="I515" s="8"/>
      <c r="J515" s="8">
        <v>6.8</v>
      </c>
      <c r="K515" s="9"/>
      <c r="L515" s="8"/>
      <c r="M515" s="8"/>
    </row>
    <row r="516" spans="1:13" ht="17.25" customHeight="1" x14ac:dyDescent="0.2">
      <c r="A516" s="2" t="s">
        <v>1018</v>
      </c>
      <c r="B516" s="2" t="s">
        <v>993</v>
      </c>
      <c r="C516" s="2" t="s">
        <v>14</v>
      </c>
      <c r="D516" s="2" t="s">
        <v>38</v>
      </c>
      <c r="E516" s="7" t="s">
        <v>16</v>
      </c>
      <c r="F516" s="2" t="s">
        <v>17</v>
      </c>
      <c r="G516" s="2" t="s">
        <v>20</v>
      </c>
      <c r="H516" s="8">
        <v>6.6</v>
      </c>
      <c r="I516" s="8"/>
      <c r="J516" s="8">
        <v>5.51</v>
      </c>
      <c r="K516" s="9"/>
      <c r="L516" s="8"/>
      <c r="M516" s="8"/>
    </row>
    <row r="517" spans="1:13" ht="17.25" customHeight="1" x14ac:dyDescent="0.2">
      <c r="A517" s="2" t="s">
        <v>1019</v>
      </c>
      <c r="B517" s="2" t="s">
        <v>993</v>
      </c>
      <c r="C517" s="2" t="s">
        <v>14</v>
      </c>
      <c r="D517" s="2" t="s">
        <v>38</v>
      </c>
      <c r="E517" s="7" t="s">
        <v>16</v>
      </c>
      <c r="F517" s="2" t="s">
        <v>17</v>
      </c>
      <c r="G517" s="2" t="s">
        <v>430</v>
      </c>
      <c r="H517" s="9">
        <v>27</v>
      </c>
      <c r="I517" s="8">
        <v>1.69</v>
      </c>
      <c r="J517" s="8">
        <v>3.79</v>
      </c>
      <c r="K517" s="9"/>
      <c r="L517" s="8"/>
      <c r="M517" s="8"/>
    </row>
    <row r="518" spans="1:13" ht="17.25" customHeight="1" x14ac:dyDescent="0.2">
      <c r="A518" s="2" t="s">
        <v>1020</v>
      </c>
      <c r="B518" s="2" t="s">
        <v>993</v>
      </c>
      <c r="C518" s="2" t="s">
        <v>14</v>
      </c>
      <c r="D518" s="2" t="s">
        <v>38</v>
      </c>
      <c r="E518" s="7" t="s">
        <v>16</v>
      </c>
      <c r="F518" s="2" t="s">
        <v>17</v>
      </c>
      <c r="G518" s="2" t="s">
        <v>430</v>
      </c>
      <c r="H518" s="9">
        <v>40</v>
      </c>
      <c r="I518" s="8">
        <v>0.6</v>
      </c>
      <c r="J518" s="8">
        <v>2.4</v>
      </c>
      <c r="K518" s="9"/>
      <c r="L518" s="8"/>
      <c r="M518" s="8"/>
    </row>
    <row r="519" spans="1:13" ht="17.25" customHeight="1" x14ac:dyDescent="0.2">
      <c r="A519" s="2" t="s">
        <v>1021</v>
      </c>
      <c r="B519" s="2" t="s">
        <v>993</v>
      </c>
      <c r="C519" s="2" t="s">
        <v>14</v>
      </c>
      <c r="D519" s="2" t="s">
        <v>38</v>
      </c>
      <c r="E519" s="7" t="s">
        <v>16</v>
      </c>
      <c r="F519" s="2" t="s">
        <v>17</v>
      </c>
      <c r="G519" s="2" t="s">
        <v>20</v>
      </c>
      <c r="H519" s="8">
        <v>3.14</v>
      </c>
      <c r="I519" s="8">
        <v>0.67</v>
      </c>
      <c r="J519" s="8">
        <v>3.25</v>
      </c>
      <c r="K519" s="9"/>
      <c r="L519" s="8"/>
      <c r="M519" s="8"/>
    </row>
    <row r="520" spans="1:13" ht="17.25" customHeight="1" x14ac:dyDescent="0.2">
      <c r="A520" s="2" t="s">
        <v>1022</v>
      </c>
      <c r="B520" s="2" t="s">
        <v>993</v>
      </c>
      <c r="C520" s="2" t="s">
        <v>24</v>
      </c>
      <c r="D520" s="2"/>
      <c r="E520" s="7" t="s">
        <v>16</v>
      </c>
      <c r="F520" s="2" t="s">
        <v>994</v>
      </c>
      <c r="G520" s="2" t="s">
        <v>583</v>
      </c>
      <c r="H520" s="8">
        <v>0.6</v>
      </c>
      <c r="I520" s="8"/>
      <c r="J520" s="8">
        <v>1.8</v>
      </c>
      <c r="K520" s="9">
        <v>50</v>
      </c>
      <c r="L520" s="8">
        <v>1.8</v>
      </c>
      <c r="M520" s="8"/>
    </row>
    <row r="521" spans="1:13" ht="17.25" customHeight="1" x14ac:dyDescent="0.2">
      <c r="A521" s="2" t="s">
        <v>1023</v>
      </c>
      <c r="B521" s="2" t="s">
        <v>993</v>
      </c>
      <c r="C521" s="2" t="s">
        <v>14</v>
      </c>
      <c r="D521" s="2" t="s">
        <v>38</v>
      </c>
      <c r="E521" s="2" t="s">
        <v>26</v>
      </c>
      <c r="F521" s="2" t="s">
        <v>1003</v>
      </c>
      <c r="G521" s="2" t="s">
        <v>977</v>
      </c>
      <c r="H521" s="8">
        <f>21.3+22.9+10</f>
        <v>54.2</v>
      </c>
      <c r="I521" s="10">
        <f>(2.4*21.3+1.9*22.9+1.6*10)/$H521</f>
        <v>2.0411439114391143</v>
      </c>
      <c r="J521" s="10">
        <f>(6.9*21.3+7.1*22.9+6.4*10)/$H521</f>
        <v>6.8922509225092234</v>
      </c>
      <c r="K521" s="12">
        <f>(66*21.3+90*22.9+58*10)/$H521</f>
        <v>74.664206642066418</v>
      </c>
      <c r="L521" s="8">
        <v>0.15</v>
      </c>
      <c r="M521" s="8">
        <v>0.28000000000000003</v>
      </c>
    </row>
    <row r="522" spans="1:13" ht="17.25" customHeight="1" x14ac:dyDescent="0.2">
      <c r="A522" s="2" t="s">
        <v>1024</v>
      </c>
      <c r="B522" s="2" t="s">
        <v>993</v>
      </c>
      <c r="C522" s="2" t="s">
        <v>14</v>
      </c>
      <c r="D522" s="2" t="s">
        <v>38</v>
      </c>
      <c r="E522" s="2" t="s">
        <v>26</v>
      </c>
      <c r="F522" s="2" t="s">
        <v>1003</v>
      </c>
      <c r="G522" s="2" t="s">
        <v>977</v>
      </c>
      <c r="H522" s="8">
        <f>17.4+34.5+12.8+44.7</f>
        <v>109.4</v>
      </c>
      <c r="I522" s="10">
        <f>(2.1*17.4+2.2*34.5+2*12.8+1.8*44.7)/$H522</f>
        <v>1.9972577696526508</v>
      </c>
      <c r="J522" s="10">
        <f>(15.3*17.4+9.9*34.5+15*12.8+13.4*44.7)/$H522</f>
        <v>12.785648994515538</v>
      </c>
      <c r="K522" s="12">
        <f>(65*17.4+58*34.5+58*12.8+58*44.7)/$H522</f>
        <v>59.11334552102376</v>
      </c>
      <c r="L522" s="8"/>
      <c r="M522" s="8"/>
    </row>
    <row r="523" spans="1:13" ht="17.25" customHeight="1" x14ac:dyDescent="0.2">
      <c r="A523" s="2" t="s">
        <v>1025</v>
      </c>
      <c r="B523" s="2" t="s">
        <v>993</v>
      </c>
      <c r="C523" s="2" t="s">
        <v>14</v>
      </c>
      <c r="D523" s="2" t="s">
        <v>38</v>
      </c>
      <c r="E523" s="7" t="s">
        <v>16</v>
      </c>
      <c r="F523" s="2" t="s">
        <v>17</v>
      </c>
      <c r="G523" s="2" t="s">
        <v>20</v>
      </c>
      <c r="H523" s="8">
        <v>0.56000000000000005</v>
      </c>
      <c r="I523" s="8">
        <v>1.1000000000000001</v>
      </c>
      <c r="J523" s="8">
        <v>2.6</v>
      </c>
      <c r="K523" s="9"/>
      <c r="L523" s="8">
        <v>1.1000000000000001</v>
      </c>
      <c r="M523" s="8"/>
    </row>
    <row r="524" spans="1:13" ht="17.25" customHeight="1" x14ac:dyDescent="0.2">
      <c r="A524" s="2" t="s">
        <v>1026</v>
      </c>
      <c r="B524" s="2" t="s">
        <v>993</v>
      </c>
      <c r="C524" s="2" t="s">
        <v>14</v>
      </c>
      <c r="D524" s="2" t="s">
        <v>38</v>
      </c>
      <c r="E524" s="7" t="s">
        <v>16</v>
      </c>
      <c r="F524" s="2" t="s">
        <v>17</v>
      </c>
      <c r="G524" s="2" t="s">
        <v>20</v>
      </c>
      <c r="H524" s="8">
        <v>1.2</v>
      </c>
      <c r="I524" s="8">
        <v>5.4</v>
      </c>
      <c r="J524" s="8">
        <v>0.4</v>
      </c>
      <c r="K524" s="9"/>
      <c r="L524" s="8">
        <v>0.7</v>
      </c>
      <c r="M524" s="8"/>
    </row>
    <row r="525" spans="1:13" ht="17.25" customHeight="1" x14ac:dyDescent="0.2">
      <c r="A525" s="2" t="s">
        <v>1027</v>
      </c>
      <c r="B525" s="2" t="s">
        <v>993</v>
      </c>
      <c r="C525" s="2" t="s">
        <v>14</v>
      </c>
      <c r="D525" s="2" t="s">
        <v>38</v>
      </c>
      <c r="E525" s="7" t="s">
        <v>16</v>
      </c>
      <c r="F525" s="2" t="s">
        <v>17</v>
      </c>
      <c r="G525" s="2" t="s">
        <v>20</v>
      </c>
      <c r="H525" s="9">
        <v>115</v>
      </c>
      <c r="I525" s="8"/>
      <c r="J525" s="9">
        <v>1</v>
      </c>
      <c r="K525" s="9"/>
      <c r="L525" s="8"/>
      <c r="M525" s="8"/>
    </row>
    <row r="526" spans="1:13" ht="17.25" customHeight="1" x14ac:dyDescent="0.2">
      <c r="A526" s="2" t="s">
        <v>1028</v>
      </c>
      <c r="B526" s="2" t="s">
        <v>993</v>
      </c>
      <c r="C526" s="2" t="s">
        <v>14</v>
      </c>
      <c r="D526" s="2" t="s">
        <v>38</v>
      </c>
      <c r="E526" s="7" t="s">
        <v>16</v>
      </c>
      <c r="F526" s="2" t="s">
        <v>17</v>
      </c>
      <c r="G526" s="2" t="s">
        <v>20</v>
      </c>
      <c r="H526" s="8">
        <v>3.69</v>
      </c>
      <c r="I526" s="8">
        <v>1.37</v>
      </c>
      <c r="J526" s="8">
        <v>1.85</v>
      </c>
      <c r="K526" s="9"/>
      <c r="L526" s="8"/>
      <c r="M526" s="8"/>
    </row>
    <row r="527" spans="1:13" ht="17.25" customHeight="1" x14ac:dyDescent="0.2">
      <c r="A527" s="2" t="s">
        <v>1029</v>
      </c>
      <c r="B527" s="2" t="s">
        <v>993</v>
      </c>
      <c r="C527" s="2" t="s">
        <v>14</v>
      </c>
      <c r="D527" s="2" t="s">
        <v>38</v>
      </c>
      <c r="E527" s="7" t="s">
        <v>16</v>
      </c>
      <c r="F527" s="2" t="s">
        <v>17</v>
      </c>
      <c r="G527" s="2" t="s">
        <v>20</v>
      </c>
      <c r="H527" s="9">
        <v>2</v>
      </c>
      <c r="I527" s="8">
        <v>5.94</v>
      </c>
      <c r="J527" s="8"/>
      <c r="K527" s="9"/>
      <c r="L527" s="8"/>
      <c r="M527" s="8"/>
    </row>
    <row r="528" spans="1:13" ht="17.25" customHeight="1" x14ac:dyDescent="0.2">
      <c r="A528" s="2" t="s">
        <v>1030</v>
      </c>
      <c r="B528" s="2" t="s">
        <v>993</v>
      </c>
      <c r="C528" s="2" t="s">
        <v>14</v>
      </c>
      <c r="D528" s="2" t="s">
        <v>38</v>
      </c>
      <c r="E528" s="7" t="s">
        <v>16</v>
      </c>
      <c r="F528" s="2" t="s">
        <v>17</v>
      </c>
      <c r="G528" s="2" t="s">
        <v>20</v>
      </c>
      <c r="H528" s="8">
        <v>0.9</v>
      </c>
      <c r="I528" s="8">
        <v>2.54</v>
      </c>
      <c r="J528" s="8">
        <v>1.45</v>
      </c>
      <c r="K528" s="9"/>
      <c r="L528" s="8"/>
      <c r="M528" s="8"/>
    </row>
    <row r="529" spans="1:13" ht="17.25" customHeight="1" x14ac:dyDescent="0.2">
      <c r="A529" s="2" t="s">
        <v>1031</v>
      </c>
      <c r="B529" s="2" t="s">
        <v>993</v>
      </c>
      <c r="C529" s="2" t="s">
        <v>14</v>
      </c>
      <c r="D529" s="2" t="s">
        <v>38</v>
      </c>
      <c r="E529" s="2" t="s">
        <v>26</v>
      </c>
      <c r="F529" s="2" t="s">
        <v>1003</v>
      </c>
      <c r="G529" s="2" t="s">
        <v>977</v>
      </c>
      <c r="H529" s="8">
        <f>30.8+47.9+20.4</f>
        <v>99.1</v>
      </c>
      <c r="I529" s="10">
        <f>(3.2*30.8+2.2*47.9+2.6*20.4)/$H529</f>
        <v>2.5931382441977804</v>
      </c>
      <c r="J529" s="10">
        <f>(5.1*30.8+3.7*47.9+4.6*20.4)/$H529</f>
        <v>4.3203834510595351</v>
      </c>
      <c r="K529" s="12">
        <f>(174*30.8+100*47.9+155*20.4)/$H529</f>
        <v>134.32088799192735</v>
      </c>
      <c r="L529" s="8"/>
      <c r="M529" s="8"/>
    </row>
    <row r="530" spans="1:13" ht="17.25" customHeight="1" x14ac:dyDescent="0.2">
      <c r="A530" s="2" t="s">
        <v>1032</v>
      </c>
      <c r="B530" s="2" t="s">
        <v>993</v>
      </c>
      <c r="C530" s="2" t="s">
        <v>14</v>
      </c>
      <c r="D530" s="2" t="s">
        <v>38</v>
      </c>
      <c r="E530" s="7" t="s">
        <v>16</v>
      </c>
      <c r="F530" s="2" t="s">
        <v>17</v>
      </c>
      <c r="G530" s="2" t="s">
        <v>20</v>
      </c>
      <c r="H530" s="8">
        <v>18.38</v>
      </c>
      <c r="I530" s="8">
        <v>0.79</v>
      </c>
      <c r="J530" s="8">
        <v>1.3</v>
      </c>
      <c r="K530" s="9">
        <v>21</v>
      </c>
      <c r="L530" s="8"/>
      <c r="M530" s="8"/>
    </row>
    <row r="531" spans="1:13" ht="17.25" customHeight="1" x14ac:dyDescent="0.2">
      <c r="A531" s="2" t="s">
        <v>1033</v>
      </c>
      <c r="B531" s="2" t="s">
        <v>993</v>
      </c>
      <c r="C531" s="2" t="s">
        <v>14</v>
      </c>
      <c r="D531" s="2" t="s">
        <v>38</v>
      </c>
      <c r="E531" s="7" t="s">
        <v>16</v>
      </c>
      <c r="F531" s="2" t="s">
        <v>17</v>
      </c>
      <c r="G531" s="2" t="s">
        <v>20</v>
      </c>
      <c r="H531" s="8">
        <v>1.47</v>
      </c>
      <c r="I531" s="8">
        <v>1.9</v>
      </c>
      <c r="J531" s="8">
        <v>2.59</v>
      </c>
      <c r="K531" s="9"/>
      <c r="L531" s="8"/>
      <c r="M531" s="8"/>
    </row>
    <row r="532" spans="1:13" ht="17.25" customHeight="1" x14ac:dyDescent="0.2">
      <c r="A532" s="2" t="s">
        <v>1034</v>
      </c>
      <c r="B532" s="2" t="s">
        <v>993</v>
      </c>
      <c r="C532" s="2" t="s">
        <v>14</v>
      </c>
      <c r="D532" s="2" t="s">
        <v>38</v>
      </c>
      <c r="E532" s="7" t="s">
        <v>16</v>
      </c>
      <c r="F532" s="2" t="s">
        <v>17</v>
      </c>
      <c r="G532" s="2" t="s">
        <v>20</v>
      </c>
      <c r="H532" s="8">
        <v>1.1499999999999999</v>
      </c>
      <c r="I532" s="8">
        <v>1.75</v>
      </c>
      <c r="J532" s="8">
        <v>1.1299999999999999</v>
      </c>
      <c r="K532" s="9"/>
      <c r="L532" s="8"/>
      <c r="M532" s="8"/>
    </row>
    <row r="533" spans="1:13" ht="17.25" customHeight="1" x14ac:dyDescent="0.2">
      <c r="A533" s="2" t="s">
        <v>1035</v>
      </c>
      <c r="B533" s="2" t="s">
        <v>993</v>
      </c>
      <c r="C533" s="2" t="s">
        <v>14</v>
      </c>
      <c r="D533" s="2" t="s">
        <v>38</v>
      </c>
      <c r="E533" s="2" t="s">
        <v>26</v>
      </c>
      <c r="F533" s="2" t="s">
        <v>1003</v>
      </c>
      <c r="G533" s="2" t="s">
        <v>977</v>
      </c>
      <c r="H533" s="8">
        <f>23.9+44.7+9.9</f>
        <v>78.5</v>
      </c>
      <c r="I533" s="10">
        <f>(1.8*23.9+2.3*44.7+1.9*9.9)/$H533</f>
        <v>2.097324840764331</v>
      </c>
      <c r="J533" s="10">
        <f>(5*23.9+4.9*44.7+3.8*9.9)/$H533</f>
        <v>4.7917197452229301</v>
      </c>
      <c r="K533" s="12">
        <f>(43*23.9+55*44.7+34*9.9)/$H533</f>
        <v>48.698089171974516</v>
      </c>
      <c r="L533" s="8"/>
      <c r="M533" s="8"/>
    </row>
    <row r="534" spans="1:13" ht="17.25" customHeight="1" x14ac:dyDescent="0.2">
      <c r="A534" s="2" t="s">
        <v>1036</v>
      </c>
      <c r="B534" s="2" t="s">
        <v>1037</v>
      </c>
      <c r="C534" s="2" t="s">
        <v>14</v>
      </c>
      <c r="D534" s="2" t="s">
        <v>38</v>
      </c>
      <c r="E534" s="2" t="s">
        <v>26</v>
      </c>
      <c r="F534" s="2" t="s">
        <v>1038</v>
      </c>
      <c r="G534" s="2" t="s">
        <v>82</v>
      </c>
      <c r="H534" s="8">
        <v>8.11</v>
      </c>
      <c r="I534" s="8">
        <v>9.1</v>
      </c>
      <c r="J534" s="8">
        <v>14.6</v>
      </c>
      <c r="K534" s="9">
        <v>12</v>
      </c>
      <c r="L534" s="8"/>
      <c r="M534" s="8"/>
    </row>
    <row r="535" spans="1:13" ht="17.25" customHeight="1" x14ac:dyDescent="0.2">
      <c r="A535" s="2" t="s">
        <v>1039</v>
      </c>
      <c r="B535" s="2" t="s">
        <v>1037</v>
      </c>
      <c r="C535" s="2" t="s">
        <v>14</v>
      </c>
      <c r="D535" s="2" t="s">
        <v>38</v>
      </c>
      <c r="E535" s="2" t="s">
        <v>26</v>
      </c>
      <c r="F535" s="2" t="s">
        <v>1038</v>
      </c>
      <c r="G535" s="2" t="s">
        <v>82</v>
      </c>
      <c r="H535" s="8">
        <f>0.49+0.34</f>
        <v>0.83000000000000007</v>
      </c>
      <c r="I535" s="10">
        <f>(5.7*0.49+4*0.34)/$H535</f>
        <v>5.0036144578313255</v>
      </c>
      <c r="J535" s="10">
        <f>(5.5*0.49+4.2*0.34)/$H535</f>
        <v>4.9674698795180721</v>
      </c>
      <c r="K535" s="12">
        <f>(10*0.49+20*0.34)/$H535</f>
        <v>14.096385542168674</v>
      </c>
      <c r="L535" s="8"/>
      <c r="M535" s="8"/>
    </row>
    <row r="536" spans="1:13" ht="17.25" customHeight="1" x14ac:dyDescent="0.2">
      <c r="A536" s="2" t="s">
        <v>1040</v>
      </c>
      <c r="B536" s="2" t="s">
        <v>1037</v>
      </c>
      <c r="C536" s="2" t="s">
        <v>14</v>
      </c>
      <c r="D536" s="2" t="s">
        <v>38</v>
      </c>
      <c r="E536" s="2" t="s">
        <v>26</v>
      </c>
      <c r="F536" s="2" t="s">
        <v>1038</v>
      </c>
      <c r="G536" s="2" t="s">
        <v>82</v>
      </c>
      <c r="H536" s="8">
        <v>16.18</v>
      </c>
      <c r="I536" s="8">
        <v>4.5</v>
      </c>
      <c r="J536" s="8">
        <v>8.1999999999999993</v>
      </c>
      <c r="K536" s="9"/>
      <c r="L536" s="8"/>
      <c r="M536" s="8"/>
    </row>
    <row r="537" spans="1:13" ht="17.25" customHeight="1" x14ac:dyDescent="0.2">
      <c r="A537" s="2" t="s">
        <v>1041</v>
      </c>
      <c r="B537" s="2" t="s">
        <v>1042</v>
      </c>
      <c r="C537" s="2" t="s">
        <v>24</v>
      </c>
      <c r="D537" s="2" t="s">
        <v>1043</v>
      </c>
      <c r="E537" s="7" t="s">
        <v>16</v>
      </c>
      <c r="F537" s="2" t="s">
        <v>1044</v>
      </c>
      <c r="G537" s="2" t="s">
        <v>1045</v>
      </c>
      <c r="H537" s="8">
        <v>89.5</v>
      </c>
      <c r="I537" s="8"/>
      <c r="J537" s="8">
        <v>2.06</v>
      </c>
      <c r="K537" s="8">
        <v>38.4</v>
      </c>
      <c r="L537" s="8">
        <v>0.45</v>
      </c>
      <c r="M537" s="8"/>
    </row>
    <row r="538" spans="1:13" ht="17.25" customHeight="1" x14ac:dyDescent="0.2">
      <c r="A538" s="2" t="s">
        <v>1046</v>
      </c>
      <c r="B538" s="2" t="s">
        <v>1047</v>
      </c>
      <c r="C538" s="2" t="s">
        <v>14</v>
      </c>
      <c r="D538" s="2" t="s">
        <v>38</v>
      </c>
      <c r="E538" s="7" t="s">
        <v>16</v>
      </c>
      <c r="F538" s="2" t="s">
        <v>1048</v>
      </c>
      <c r="G538" s="2" t="s">
        <v>1049</v>
      </c>
      <c r="H538" s="8">
        <f>4+18.23</f>
        <v>22.23</v>
      </c>
      <c r="I538" s="10">
        <f>(1.9*4+4.4*18.23)/$H538</f>
        <v>3.9501574448942867</v>
      </c>
      <c r="J538" s="10">
        <f>(40.4*4+28.1*18.23)/$H538</f>
        <v>30.313225371120112</v>
      </c>
      <c r="K538" s="12">
        <f>(0*4+110*18.23)/$H538</f>
        <v>90.206927575348629</v>
      </c>
      <c r="L538" s="8"/>
      <c r="M538" s="8"/>
    </row>
    <row r="539" spans="1:13" ht="17.25" customHeight="1" x14ac:dyDescent="0.2">
      <c r="A539" s="2" t="s">
        <v>1050</v>
      </c>
      <c r="B539" s="2" t="s">
        <v>1047</v>
      </c>
      <c r="C539" s="2" t="s">
        <v>14</v>
      </c>
      <c r="D539" s="2" t="s">
        <v>15</v>
      </c>
      <c r="E539" s="7" t="s">
        <v>16</v>
      </c>
      <c r="F539" s="2" t="s">
        <v>17</v>
      </c>
      <c r="G539" s="2" t="s">
        <v>20</v>
      </c>
      <c r="H539" s="8">
        <v>1.1599999999999999</v>
      </c>
      <c r="I539" s="8">
        <f>0.33*8.34</f>
        <v>2.7522000000000002</v>
      </c>
      <c r="J539" s="8">
        <f>0.67*8.34</f>
        <v>5.5878000000000005</v>
      </c>
      <c r="K539" s="9"/>
      <c r="L539" s="8"/>
      <c r="M539" s="8"/>
    </row>
    <row r="540" spans="1:13" ht="17.25" customHeight="1" x14ac:dyDescent="0.2">
      <c r="A540" s="2" t="s">
        <v>1051</v>
      </c>
      <c r="B540" s="2" t="s">
        <v>1047</v>
      </c>
      <c r="C540" s="2" t="s">
        <v>14</v>
      </c>
      <c r="D540" s="2" t="s">
        <v>15</v>
      </c>
      <c r="E540" s="7" t="s">
        <v>16</v>
      </c>
      <c r="F540" s="2" t="s">
        <v>17</v>
      </c>
      <c r="G540" s="2" t="s">
        <v>1052</v>
      </c>
      <c r="H540" s="9">
        <v>10</v>
      </c>
      <c r="I540" s="8">
        <v>2.2599999999999998</v>
      </c>
      <c r="J540" s="9">
        <v>6</v>
      </c>
      <c r="K540" s="9"/>
      <c r="L540" s="8"/>
      <c r="M540" s="8"/>
    </row>
    <row r="541" spans="1:13" ht="17.25" customHeight="1" x14ac:dyDescent="0.2">
      <c r="A541" s="2" t="s">
        <v>1053</v>
      </c>
      <c r="B541" s="2" t="s">
        <v>1047</v>
      </c>
      <c r="C541" s="2" t="s">
        <v>14</v>
      </c>
      <c r="D541" s="2" t="s">
        <v>15</v>
      </c>
      <c r="E541" s="7" t="s">
        <v>16</v>
      </c>
      <c r="F541" s="2" t="s">
        <v>17</v>
      </c>
      <c r="G541" s="2" t="s">
        <v>1054</v>
      </c>
      <c r="H541" s="8">
        <v>0.12</v>
      </c>
      <c r="I541" s="9">
        <v>8</v>
      </c>
      <c r="J541" s="9">
        <v>1</v>
      </c>
      <c r="K541" s="9"/>
      <c r="L541" s="8"/>
      <c r="M541" s="8"/>
    </row>
    <row r="542" spans="1:13" ht="17.25" customHeight="1" x14ac:dyDescent="0.2">
      <c r="A542" s="2" t="s">
        <v>1055</v>
      </c>
      <c r="B542" s="2" t="s">
        <v>1047</v>
      </c>
      <c r="C542" s="2" t="s">
        <v>14</v>
      </c>
      <c r="D542" s="2" t="s">
        <v>15</v>
      </c>
      <c r="E542" s="7" t="s">
        <v>16</v>
      </c>
      <c r="F542" s="2" t="s">
        <v>17</v>
      </c>
      <c r="G542" s="2" t="s">
        <v>20</v>
      </c>
      <c r="H542" s="9">
        <v>10</v>
      </c>
      <c r="I542" s="8">
        <v>2.4</v>
      </c>
      <c r="J542" s="8">
        <v>7.4</v>
      </c>
      <c r="K542" s="9"/>
      <c r="L542" s="8"/>
      <c r="M542" s="8"/>
    </row>
    <row r="543" spans="1:13" ht="17.25" customHeight="1" x14ac:dyDescent="0.2">
      <c r="A543" s="2" t="s">
        <v>1056</v>
      </c>
      <c r="B543" s="2" t="s">
        <v>1047</v>
      </c>
      <c r="C543" s="2" t="s">
        <v>14</v>
      </c>
      <c r="D543" s="2" t="s">
        <v>15</v>
      </c>
      <c r="E543" s="7" t="s">
        <v>16</v>
      </c>
      <c r="F543" s="2" t="s">
        <v>17</v>
      </c>
      <c r="G543" s="2" t="s">
        <v>20</v>
      </c>
      <c r="H543" s="8">
        <v>0.9</v>
      </c>
      <c r="I543" s="8">
        <v>5.4</v>
      </c>
      <c r="J543" s="8">
        <v>12.1</v>
      </c>
      <c r="K543" s="9"/>
      <c r="L543" s="8"/>
      <c r="M543" s="8"/>
    </row>
    <row r="544" spans="1:13" ht="17.25" customHeight="1" x14ac:dyDescent="0.2">
      <c r="A544" s="2" t="s">
        <v>1057</v>
      </c>
      <c r="B544" s="2" t="s">
        <v>1047</v>
      </c>
      <c r="C544" s="2" t="s">
        <v>14</v>
      </c>
      <c r="D544" s="2" t="s">
        <v>38</v>
      </c>
      <c r="E544" s="7" t="s">
        <v>16</v>
      </c>
      <c r="F544" s="2" t="s">
        <v>17</v>
      </c>
      <c r="G544" s="2" t="s">
        <v>20</v>
      </c>
      <c r="H544" s="9">
        <v>4</v>
      </c>
      <c r="I544" s="9">
        <v>3</v>
      </c>
      <c r="J544" s="9">
        <v>10</v>
      </c>
      <c r="K544" s="9"/>
      <c r="L544" s="8"/>
      <c r="M544" s="8"/>
    </row>
    <row r="545" spans="1:13" ht="17.25" customHeight="1" x14ac:dyDescent="0.2">
      <c r="A545" s="2" t="s">
        <v>1058</v>
      </c>
      <c r="B545" s="2" t="s">
        <v>1047</v>
      </c>
      <c r="C545" s="2" t="s">
        <v>14</v>
      </c>
      <c r="D545" s="2" t="s">
        <v>1059</v>
      </c>
      <c r="E545" s="2" t="s">
        <v>26</v>
      </c>
      <c r="F545" s="2" t="s">
        <v>1060</v>
      </c>
      <c r="G545" s="2" t="s">
        <v>1061</v>
      </c>
      <c r="H545" s="9">
        <v>394</v>
      </c>
      <c r="I545" s="8">
        <v>1.6</v>
      </c>
      <c r="J545" s="8">
        <v>4.2</v>
      </c>
      <c r="K545" s="9">
        <v>36</v>
      </c>
      <c r="L545" s="8"/>
      <c r="M545" s="8"/>
    </row>
    <row r="546" spans="1:13" ht="17.25" customHeight="1" x14ac:dyDescent="0.2">
      <c r="A546" s="2" t="s">
        <v>1062</v>
      </c>
      <c r="B546" s="2" t="s">
        <v>1047</v>
      </c>
      <c r="C546" s="2" t="s">
        <v>14</v>
      </c>
      <c r="D546" s="2" t="s">
        <v>15</v>
      </c>
      <c r="E546" s="7" t="s">
        <v>16</v>
      </c>
      <c r="F546" s="2" t="s">
        <v>17</v>
      </c>
      <c r="G546" s="2" t="s">
        <v>1063</v>
      </c>
      <c r="H546" s="9">
        <v>7</v>
      </c>
      <c r="I546" s="8">
        <v>8.33</v>
      </c>
      <c r="J546" s="8">
        <v>0.38</v>
      </c>
      <c r="K546" s="9">
        <v>72</v>
      </c>
      <c r="L546" s="8"/>
      <c r="M546" s="8"/>
    </row>
    <row r="547" spans="1:13" ht="17.25" customHeight="1" x14ac:dyDescent="0.2">
      <c r="A547" s="2" t="s">
        <v>1064</v>
      </c>
      <c r="B547" s="2" t="s">
        <v>1047</v>
      </c>
      <c r="C547" s="2" t="s">
        <v>14</v>
      </c>
      <c r="D547" s="2" t="s">
        <v>15</v>
      </c>
      <c r="E547" s="7" t="s">
        <v>16</v>
      </c>
      <c r="F547" s="2" t="s">
        <v>17</v>
      </c>
      <c r="G547" s="2" t="s">
        <v>1054</v>
      </c>
      <c r="H547" s="8">
        <v>0.15</v>
      </c>
      <c r="I547" s="9">
        <v>7</v>
      </c>
      <c r="J547" s="8">
        <v>2.5</v>
      </c>
      <c r="K547" s="9"/>
      <c r="L547" s="8"/>
      <c r="M547" s="8"/>
    </row>
    <row r="548" spans="1:13" ht="17.25" customHeight="1" x14ac:dyDescent="0.2">
      <c r="A548" s="2" t="s">
        <v>1065</v>
      </c>
      <c r="B548" s="2" t="s">
        <v>1066</v>
      </c>
      <c r="C548" s="2" t="s">
        <v>14</v>
      </c>
      <c r="D548" s="2" t="s">
        <v>15</v>
      </c>
      <c r="E548" s="7" t="s">
        <v>16</v>
      </c>
      <c r="F548" s="2" t="s">
        <v>17</v>
      </c>
      <c r="G548" s="2" t="s">
        <v>1067</v>
      </c>
      <c r="H548" s="8">
        <v>10.1</v>
      </c>
      <c r="I548" s="8">
        <v>0.4</v>
      </c>
      <c r="J548" s="8">
        <v>1.6</v>
      </c>
      <c r="K548" s="9"/>
      <c r="L548" s="8"/>
      <c r="M548" s="8"/>
    </row>
    <row r="549" spans="1:13" ht="17.25" customHeight="1" x14ac:dyDescent="0.2">
      <c r="A549" s="2" t="s">
        <v>1068</v>
      </c>
      <c r="B549" s="2" t="s">
        <v>1066</v>
      </c>
      <c r="C549" s="2" t="s">
        <v>14</v>
      </c>
      <c r="D549" s="2" t="s">
        <v>15</v>
      </c>
      <c r="E549" s="7" t="s">
        <v>16</v>
      </c>
      <c r="F549" s="2" t="s">
        <v>17</v>
      </c>
      <c r="G549" s="2" t="s">
        <v>1069</v>
      </c>
      <c r="H549" s="8">
        <v>7.83</v>
      </c>
      <c r="I549" s="8">
        <v>1.1000000000000001</v>
      </c>
      <c r="J549" s="8">
        <v>6.8</v>
      </c>
      <c r="K549" s="9">
        <v>27</v>
      </c>
      <c r="L549" s="8"/>
      <c r="M549" s="8"/>
    </row>
    <row r="550" spans="1:13" ht="17.25" customHeight="1" x14ac:dyDescent="0.2">
      <c r="A550" s="2" t="s">
        <v>1070</v>
      </c>
      <c r="B550" s="2" t="s">
        <v>1066</v>
      </c>
      <c r="C550" s="2" t="s">
        <v>14</v>
      </c>
      <c r="D550" s="2" t="s">
        <v>15</v>
      </c>
      <c r="E550" s="7" t="s">
        <v>16</v>
      </c>
      <c r="F550" s="2" t="s">
        <v>17</v>
      </c>
      <c r="G550" s="2" t="s">
        <v>1069</v>
      </c>
      <c r="H550" s="9">
        <v>1</v>
      </c>
      <c r="I550" s="10">
        <v>2</v>
      </c>
      <c r="J550" s="8">
        <v>3.5</v>
      </c>
      <c r="K550" s="9">
        <v>14</v>
      </c>
      <c r="L550" s="8"/>
      <c r="M550" s="8"/>
    </row>
    <row r="551" spans="1:13" ht="17.25" customHeight="1" x14ac:dyDescent="0.2">
      <c r="A551" s="2" t="s">
        <v>1071</v>
      </c>
      <c r="B551" s="2" t="s">
        <v>1066</v>
      </c>
      <c r="C551" s="2" t="s">
        <v>14</v>
      </c>
      <c r="D551" s="2" t="s">
        <v>15</v>
      </c>
      <c r="E551" s="7" t="s">
        <v>16</v>
      </c>
      <c r="F551" s="2" t="s">
        <v>17</v>
      </c>
      <c r="G551" s="2" t="s">
        <v>1069</v>
      </c>
      <c r="H551" s="8">
        <v>1.35</v>
      </c>
      <c r="I551" s="8">
        <v>0.18</v>
      </c>
      <c r="J551" s="8">
        <v>2.67</v>
      </c>
      <c r="K551" s="9"/>
      <c r="L551" s="8"/>
      <c r="M551" s="8"/>
    </row>
    <row r="552" spans="1:13" ht="17.25" customHeight="1" x14ac:dyDescent="0.2">
      <c r="A552" s="2" t="s">
        <v>1072</v>
      </c>
      <c r="B552" s="2" t="s">
        <v>1066</v>
      </c>
      <c r="C552" s="2" t="s">
        <v>14</v>
      </c>
      <c r="D552" s="2" t="s">
        <v>15</v>
      </c>
      <c r="E552" s="7" t="s">
        <v>16</v>
      </c>
      <c r="F552" s="2" t="s">
        <v>17</v>
      </c>
      <c r="G552" s="2" t="s">
        <v>1069</v>
      </c>
      <c r="H552" s="8">
        <v>3.7</v>
      </c>
      <c r="I552" s="8">
        <v>1.1000000000000001</v>
      </c>
      <c r="J552" s="8">
        <v>8.8000000000000007</v>
      </c>
      <c r="K552" s="9">
        <v>10</v>
      </c>
      <c r="L552" s="8"/>
      <c r="M552" s="8"/>
    </row>
    <row r="553" spans="1:13" ht="17.25" customHeight="1" x14ac:dyDescent="0.2">
      <c r="A553" s="2" t="s">
        <v>1073</v>
      </c>
      <c r="B553" s="2" t="s">
        <v>1066</v>
      </c>
      <c r="C553" s="2" t="s">
        <v>14</v>
      </c>
      <c r="D553" s="2" t="s">
        <v>15</v>
      </c>
      <c r="E553" s="7" t="s">
        <v>16</v>
      </c>
      <c r="F553" s="2" t="s">
        <v>17</v>
      </c>
      <c r="G553" s="2" t="s">
        <v>1069</v>
      </c>
      <c r="H553" s="8">
        <v>1.85</v>
      </c>
      <c r="I553" s="8">
        <v>1.04</v>
      </c>
      <c r="J553" s="8">
        <v>7.71</v>
      </c>
      <c r="K553" s="8">
        <v>39.6</v>
      </c>
      <c r="L553" s="8"/>
      <c r="M553" s="8"/>
    </row>
    <row r="554" spans="1:13" ht="17.25" customHeight="1" x14ac:dyDescent="0.2">
      <c r="A554" s="2" t="s">
        <v>1074</v>
      </c>
      <c r="B554" s="2" t="s">
        <v>1066</v>
      </c>
      <c r="C554" s="2" t="s">
        <v>14</v>
      </c>
      <c r="D554" s="2" t="s">
        <v>15</v>
      </c>
      <c r="E554" s="2" t="s">
        <v>26</v>
      </c>
      <c r="F554" s="2" t="s">
        <v>1075</v>
      </c>
      <c r="G554" s="2" t="s">
        <v>977</v>
      </c>
      <c r="H554" s="8">
        <f>1.9+0.2+1.7</f>
        <v>3.8</v>
      </c>
      <c r="I554" s="8">
        <f>(2.42*1.9+2.22*0.2+1.72*1.7)/$H554</f>
        <v>2.0963157894736839</v>
      </c>
      <c r="J554" s="8">
        <f>(14.23*1.9+14.45*0.2+10.46*1.7)/$H554</f>
        <v>12.555000000000001</v>
      </c>
      <c r="K554" s="9"/>
      <c r="L554" s="8"/>
      <c r="M554" s="8"/>
    </row>
    <row r="555" spans="1:13" ht="17.25" customHeight="1" x14ac:dyDescent="0.2">
      <c r="A555" s="2" t="s">
        <v>1076</v>
      </c>
      <c r="B555" s="2" t="s">
        <v>1066</v>
      </c>
      <c r="C555" s="2" t="s">
        <v>14</v>
      </c>
      <c r="D555" s="2" t="s">
        <v>15</v>
      </c>
      <c r="E555" s="7" t="s">
        <v>16</v>
      </c>
      <c r="F555" s="2" t="s">
        <v>17</v>
      </c>
      <c r="G555" s="2" t="s">
        <v>1069</v>
      </c>
      <c r="H555" s="8">
        <v>0.125</v>
      </c>
      <c r="I555" s="10">
        <f>8/3</f>
        <v>2.6666666666666665</v>
      </c>
      <c r="J555" s="10">
        <f>8*(2/3)</f>
        <v>5.333333333333333</v>
      </c>
      <c r="K555" s="9"/>
      <c r="L555" s="8"/>
      <c r="M555" s="8"/>
    </row>
    <row r="556" spans="1:13" ht="17.25" customHeight="1" x14ac:dyDescent="0.2">
      <c r="A556" s="2" t="s">
        <v>1077</v>
      </c>
      <c r="B556" s="2" t="s">
        <v>1066</v>
      </c>
      <c r="C556" s="2" t="s">
        <v>14</v>
      </c>
      <c r="D556" s="2" t="s">
        <v>15</v>
      </c>
      <c r="E556" s="7" t="s">
        <v>16</v>
      </c>
      <c r="F556" s="2" t="s">
        <v>17</v>
      </c>
      <c r="G556" s="2" t="s">
        <v>1067</v>
      </c>
      <c r="H556" s="10">
        <v>3</v>
      </c>
      <c r="I556" s="8">
        <v>0.6</v>
      </c>
      <c r="J556" s="8">
        <v>4.3</v>
      </c>
      <c r="K556" s="9">
        <v>11</v>
      </c>
      <c r="L556" s="8"/>
      <c r="M556" s="8"/>
    </row>
    <row r="557" spans="1:13" ht="17.25" customHeight="1" x14ac:dyDescent="0.2">
      <c r="A557" s="2" t="s">
        <v>1078</v>
      </c>
      <c r="B557" s="2" t="s">
        <v>1066</v>
      </c>
      <c r="C557" s="2" t="s">
        <v>14</v>
      </c>
      <c r="D557" s="2" t="s">
        <v>15</v>
      </c>
      <c r="E557" s="2" t="s">
        <v>26</v>
      </c>
      <c r="F557" s="2" t="s">
        <v>39</v>
      </c>
      <c r="G557" s="2" t="s">
        <v>40</v>
      </c>
      <c r="H557" s="9">
        <v>42</v>
      </c>
      <c r="I557" s="9">
        <v>1</v>
      </c>
      <c r="J557" s="9">
        <v>7</v>
      </c>
      <c r="K557" s="9"/>
      <c r="L557" s="8"/>
      <c r="M557" s="8"/>
    </row>
    <row r="558" spans="1:13" ht="17.25" customHeight="1" x14ac:dyDescent="0.2">
      <c r="A558" s="2" t="s">
        <v>1079</v>
      </c>
      <c r="B558" s="2" t="s">
        <v>1066</v>
      </c>
      <c r="C558" s="2" t="s">
        <v>14</v>
      </c>
      <c r="D558" s="2" t="s">
        <v>15</v>
      </c>
      <c r="E558" s="7" t="s">
        <v>16</v>
      </c>
      <c r="F558" s="2" t="s">
        <v>17</v>
      </c>
      <c r="G558" s="2" t="s">
        <v>1069</v>
      </c>
      <c r="H558" s="8">
        <v>3.5</v>
      </c>
      <c r="I558" s="8">
        <v>1.1000000000000001</v>
      </c>
      <c r="J558" s="8">
        <v>2.2000000000000002</v>
      </c>
      <c r="K558" s="9"/>
      <c r="L558" s="8"/>
      <c r="M558" s="8"/>
    </row>
    <row r="559" spans="1:13" ht="17.25" customHeight="1" x14ac:dyDescent="0.2">
      <c r="A559" s="2" t="s">
        <v>1080</v>
      </c>
      <c r="B559" s="2" t="s">
        <v>1066</v>
      </c>
      <c r="C559" s="2" t="s">
        <v>14</v>
      </c>
      <c r="D559" s="2" t="s">
        <v>15</v>
      </c>
      <c r="E559" s="7" t="s">
        <v>16</v>
      </c>
      <c r="F559" s="2" t="s">
        <v>17</v>
      </c>
      <c r="G559" s="2" t="s">
        <v>1069</v>
      </c>
      <c r="H559" s="8">
        <v>6.89</v>
      </c>
      <c r="I559" s="10">
        <f>11.5/3</f>
        <v>3.8333333333333335</v>
      </c>
      <c r="J559" s="10">
        <f>11.5*(2/3)</f>
        <v>7.6666666666666661</v>
      </c>
      <c r="K559" s="9">
        <v>70</v>
      </c>
      <c r="L559" s="8">
        <v>0.6</v>
      </c>
      <c r="M559" s="8"/>
    </row>
    <row r="560" spans="1:13" ht="17.25" customHeight="1" x14ac:dyDescent="0.2">
      <c r="A560" s="2" t="s">
        <v>1081</v>
      </c>
      <c r="B560" s="2" t="s">
        <v>1066</v>
      </c>
      <c r="C560" s="2" t="s">
        <v>14</v>
      </c>
      <c r="D560" s="2" t="s">
        <v>15</v>
      </c>
      <c r="E560" s="2" t="s">
        <v>26</v>
      </c>
      <c r="F560" s="2" t="s">
        <v>1082</v>
      </c>
      <c r="G560" s="2" t="s">
        <v>82</v>
      </c>
      <c r="H560" s="8">
        <f>3.4+9.7+0.6+7.3+5.4</f>
        <v>26.4</v>
      </c>
      <c r="I560" s="10">
        <f>(1.7*3.4+1.5*9.7+2.2*0.6+2*7.3+1.9*5.4)/$H560</f>
        <v>1.7617424242424242</v>
      </c>
      <c r="J560" s="10">
        <f>(7.3*3.4+6.9*9.7+6.3*0.6+6.5*7.3+6.6*5.4)/$H560</f>
        <v>6.7659090909090915</v>
      </c>
      <c r="K560" s="9"/>
      <c r="L560" s="8"/>
      <c r="M560" s="8"/>
    </row>
    <row r="561" spans="1:13" ht="17.25" customHeight="1" x14ac:dyDescent="0.2">
      <c r="A561" s="2" t="s">
        <v>1083</v>
      </c>
      <c r="B561" s="2" t="s">
        <v>1066</v>
      </c>
      <c r="C561" s="2" t="s">
        <v>14</v>
      </c>
      <c r="D561" s="2" t="s">
        <v>15</v>
      </c>
      <c r="E561" s="7" t="s">
        <v>16</v>
      </c>
      <c r="F561" s="2" t="s">
        <v>17</v>
      </c>
      <c r="G561" s="2" t="s">
        <v>1069</v>
      </c>
      <c r="H561" s="8">
        <v>3.6</v>
      </c>
      <c r="I561" s="10">
        <f>6.9/3</f>
        <v>2.3000000000000003</v>
      </c>
      <c r="J561" s="10">
        <f>6.9*(2/3)</f>
        <v>4.5999999999999996</v>
      </c>
      <c r="K561" s="9"/>
      <c r="L561" s="8"/>
      <c r="M561" s="8"/>
    </row>
    <row r="562" spans="1:13" ht="17.25" customHeight="1" x14ac:dyDescent="0.2">
      <c r="A562" s="2" t="s">
        <v>1084</v>
      </c>
      <c r="B562" s="2" t="s">
        <v>1085</v>
      </c>
      <c r="C562" s="2" t="s">
        <v>586</v>
      </c>
      <c r="D562" s="2"/>
      <c r="E562" s="7" t="s">
        <v>16</v>
      </c>
      <c r="F562" s="2" t="s">
        <v>1086</v>
      </c>
      <c r="G562" s="2" t="s">
        <v>841</v>
      </c>
      <c r="H562" s="9">
        <v>50</v>
      </c>
      <c r="I562" s="9">
        <v>5</v>
      </c>
      <c r="J562" s="8"/>
      <c r="K562" s="9">
        <v>40</v>
      </c>
      <c r="L562" s="8"/>
      <c r="M562" s="8"/>
    </row>
    <row r="563" spans="1:13" ht="17.25" customHeight="1" x14ac:dyDescent="0.2">
      <c r="A563" s="2" t="s">
        <v>1087</v>
      </c>
      <c r="B563" s="2" t="s">
        <v>1085</v>
      </c>
      <c r="C563" s="2" t="s">
        <v>1088</v>
      </c>
      <c r="D563" s="2"/>
      <c r="E563" s="2" t="s">
        <v>26</v>
      </c>
      <c r="F563" s="2" t="s">
        <v>1089</v>
      </c>
      <c r="G563" s="2" t="s">
        <v>82</v>
      </c>
      <c r="H563" s="10">
        <f>4566.354+830.412</f>
        <v>5396.7660000000005</v>
      </c>
      <c r="I563" s="8"/>
      <c r="J563" s="8">
        <f>(0.01*4566.354+0*830.412)/$H563</f>
        <v>8.4612784767766468E-3</v>
      </c>
      <c r="K563" s="8">
        <f>(1.43*4566.354+1.2*830.412)/$H563</f>
        <v>1.3946094049658628</v>
      </c>
      <c r="L563" s="8">
        <f>(0.42*4566.354+0.3*830.412)/$H563</f>
        <v>0.40153534172131972</v>
      </c>
      <c r="M563" s="8">
        <f>(0.08*4566.354+0.09*830.412)/$H563</f>
        <v>8.1538721523223348E-2</v>
      </c>
    </row>
    <row r="564" spans="1:13" ht="17.25" customHeight="1" x14ac:dyDescent="0.2">
      <c r="A564" s="2" t="s">
        <v>1090</v>
      </c>
      <c r="B564" s="2" t="s">
        <v>1085</v>
      </c>
      <c r="C564" s="15" t="s">
        <v>1091</v>
      </c>
      <c r="D564" s="2"/>
      <c r="E564" s="15" t="s">
        <v>171</v>
      </c>
      <c r="F564" s="2" t="s">
        <v>1092</v>
      </c>
      <c r="G564" s="2" t="s">
        <v>40</v>
      </c>
      <c r="H564" s="9">
        <f>58+30</f>
        <v>88</v>
      </c>
      <c r="I564" s="10">
        <f>(0.2*58+0.2*30)/$H564</f>
        <v>0.2</v>
      </c>
      <c r="J564" s="8">
        <f>(0.4*58+0.5*30)/$H564</f>
        <v>0.43409090909090914</v>
      </c>
      <c r="K564" s="10">
        <f>(5.2*58+5*30)/$H564</f>
        <v>5.1318181818181818</v>
      </c>
      <c r="L564" s="8">
        <f>(0.05*58+0.06*30)/$H564</f>
        <v>5.3409090909090913E-2</v>
      </c>
      <c r="M564" s="10">
        <f>(0.7*58+0.5*30)/$H564</f>
        <v>0.63181818181818172</v>
      </c>
    </row>
    <row r="565" spans="1:13" ht="17.25" customHeight="1" x14ac:dyDescent="0.2">
      <c r="A565" s="2" t="s">
        <v>1093</v>
      </c>
      <c r="B565" s="2" t="s">
        <v>1085</v>
      </c>
      <c r="C565" s="2" t="s">
        <v>586</v>
      </c>
      <c r="D565" s="2"/>
      <c r="E565" s="2" t="s">
        <v>26</v>
      </c>
      <c r="F565" s="2" t="s">
        <v>1092</v>
      </c>
      <c r="G565" s="2" t="s">
        <v>40</v>
      </c>
      <c r="H565" s="8">
        <f>0.71+1.1+1.2</f>
        <v>3.01</v>
      </c>
      <c r="I565" s="8">
        <f>(2.06*0.71+1.4*1.1+1*1.2)/$H565</f>
        <v>1.3962126245847177</v>
      </c>
      <c r="J565" s="8">
        <f>(4.13*0.71+2.7*1.1+2*1.2)/$H565</f>
        <v>2.7582392026578075</v>
      </c>
      <c r="K565" s="12">
        <f>(164*0.71+130*1.1+80*1.2)/$H565</f>
        <v>118.08637873754154</v>
      </c>
      <c r="L565" s="10">
        <f>(0.59*0.71+0.5*1.1+0.3*1.2)/$H565</f>
        <v>0.4414950166112957</v>
      </c>
      <c r="M565" s="10">
        <f>(11*0.71+8.1*1.1+6*1.2)/$H565</f>
        <v>7.9468438538205977</v>
      </c>
    </row>
    <row r="566" spans="1:13" ht="17.25" customHeight="1" x14ac:dyDescent="0.2">
      <c r="A566" s="2" t="s">
        <v>1094</v>
      </c>
      <c r="B566" s="2" t="s">
        <v>1085</v>
      </c>
      <c r="C566" s="2" t="s">
        <v>586</v>
      </c>
      <c r="D566" s="2"/>
      <c r="E566" s="2" t="s">
        <v>26</v>
      </c>
      <c r="F566" s="2" t="s">
        <v>1089</v>
      </c>
      <c r="G566" s="2" t="s">
        <v>82</v>
      </c>
      <c r="H566" s="8">
        <v>91.807000000000002</v>
      </c>
      <c r="I566" s="8">
        <v>0.87</v>
      </c>
      <c r="J566" s="8">
        <v>3.64</v>
      </c>
      <c r="K566" s="8">
        <v>55.49</v>
      </c>
      <c r="L566" s="8">
        <v>1.86</v>
      </c>
      <c r="M566" s="8">
        <v>0.87</v>
      </c>
    </row>
    <row r="567" spans="1:13" ht="17.25" customHeight="1" x14ac:dyDescent="0.2">
      <c r="A567" s="2" t="s">
        <v>1095</v>
      </c>
      <c r="B567" s="2" t="s">
        <v>1085</v>
      </c>
      <c r="C567" s="2" t="s">
        <v>24</v>
      </c>
      <c r="D567" s="2"/>
      <c r="E567" s="2" t="s">
        <v>26</v>
      </c>
      <c r="F567" s="2" t="s">
        <v>1092</v>
      </c>
      <c r="G567" s="2" t="s">
        <v>40</v>
      </c>
      <c r="H567" s="8">
        <f>10.4+5.8+6.4</f>
        <v>22.6</v>
      </c>
      <c r="I567" s="8">
        <f>(1.08*10.4+1.2*5.8+2*6.4)/$H567</f>
        <v>1.3713274336283185</v>
      </c>
      <c r="J567" s="8">
        <f>(7.06*10.4+6.8*5.8+8*6.4)/$H567</f>
        <v>7.2594690265486719</v>
      </c>
      <c r="K567" s="10">
        <f>(79*10.4+71*5.8+60*6.4)/$H567</f>
        <v>71.56637168141593</v>
      </c>
      <c r="L567" s="10">
        <f>(2.4*10.4+1.9*5.8+2*6.4)/$H567</f>
        <v>2.1584070796460177</v>
      </c>
      <c r="M567" s="10">
        <f>(0.62*10.4+0.6*5.8+0.4*6.4)/$H567</f>
        <v>0.55256637168141598</v>
      </c>
    </row>
    <row r="568" spans="1:13" ht="17.25" customHeight="1" x14ac:dyDescent="0.2">
      <c r="A568" s="2" t="s">
        <v>1096</v>
      </c>
      <c r="B568" s="2" t="s">
        <v>1085</v>
      </c>
      <c r="C568" s="2" t="s">
        <v>24</v>
      </c>
      <c r="D568" s="2"/>
      <c r="E568" s="2" t="s">
        <v>26</v>
      </c>
      <c r="F568" s="2" t="s">
        <v>1092</v>
      </c>
      <c r="G568" s="2" t="s">
        <v>40</v>
      </c>
      <c r="H568" s="9">
        <v>40</v>
      </c>
      <c r="I568" s="9">
        <v>1</v>
      </c>
      <c r="J568" s="9">
        <v>4</v>
      </c>
      <c r="K568" s="9">
        <v>33</v>
      </c>
      <c r="L568" s="8">
        <v>0.2</v>
      </c>
      <c r="M568" s="9">
        <v>2</v>
      </c>
    </row>
    <row r="569" spans="1:13" ht="17.25" customHeight="1" x14ac:dyDescent="0.2">
      <c r="A569" s="2" t="s">
        <v>1097</v>
      </c>
      <c r="B569" s="2" t="s">
        <v>1085</v>
      </c>
      <c r="C569" s="2" t="s">
        <v>586</v>
      </c>
      <c r="D569" s="2"/>
      <c r="E569" s="2" t="s">
        <v>26</v>
      </c>
      <c r="F569" s="2" t="s">
        <v>1092</v>
      </c>
      <c r="G569" s="2" t="s">
        <v>40</v>
      </c>
      <c r="H569" s="8">
        <f>2.66+1.4+1.1</f>
        <v>5.16</v>
      </c>
      <c r="I569" s="8">
        <f>(4.87*2.66+2.3*1.4+1*1.1)/$H569</f>
        <v>3.3477131782945735</v>
      </c>
      <c r="J569" s="8">
        <f>(11.1*2.66+7.1*1.4+4*1.1)/$H569</f>
        <v>8.5011627906976734</v>
      </c>
      <c r="K569" s="10">
        <f>(81.2*2.66+43*1.4+100*1.1)/$H569</f>
        <v>74.843410852713177</v>
      </c>
      <c r="L569" s="8">
        <f>(1.16*2.66+1.2*1.4+0.9*1.1)/$H569</f>
        <v>1.1154263565891473</v>
      </c>
      <c r="M569" s="10">
        <f>(2.2*2.66+0.7*1.4+0.9*1.1)/$H569</f>
        <v>1.5158914728682171</v>
      </c>
    </row>
    <row r="570" spans="1:13" ht="17.25" customHeight="1" x14ac:dyDescent="0.2">
      <c r="A570" s="2" t="s">
        <v>1098</v>
      </c>
      <c r="B570" s="2" t="s">
        <v>1085</v>
      </c>
      <c r="C570" s="2" t="s">
        <v>24</v>
      </c>
      <c r="D570" s="2"/>
      <c r="E570" s="2" t="s">
        <v>26</v>
      </c>
      <c r="F570" s="2" t="s">
        <v>1092</v>
      </c>
      <c r="G570" s="2" t="s">
        <v>40</v>
      </c>
      <c r="H570" s="8">
        <f>19+16+6.4</f>
        <v>41.4</v>
      </c>
      <c r="I570" s="8">
        <f>(0.66*19+0.5*16+0.5*6.4)/$H570</f>
        <v>0.57342995169082123</v>
      </c>
      <c r="J570" s="8">
        <f>(1.44*19+1.3*16+1*6.4)/$H570</f>
        <v>1.3178743961352657</v>
      </c>
      <c r="K570" s="10">
        <f>(22.8*19+25*16+22*6.4)/$H570</f>
        <v>23.526570048309178</v>
      </c>
      <c r="L570" s="10">
        <f>(0.76*19+0.7*16+1*6.4)/$H570</f>
        <v>0.77391304347826084</v>
      </c>
      <c r="M570" s="10">
        <f>(1.9*19+1.7*16+2*6.4)/$H570</f>
        <v>1.8381642512077294</v>
      </c>
    </row>
    <row r="571" spans="1:13" ht="17.25" customHeight="1" x14ac:dyDescent="0.2">
      <c r="A571" s="2" t="s">
        <v>1099</v>
      </c>
      <c r="B571" s="2" t="s">
        <v>1085</v>
      </c>
      <c r="C571" s="2" t="s">
        <v>586</v>
      </c>
      <c r="D571" s="2" t="s">
        <v>1100</v>
      </c>
      <c r="E571" s="15" t="s">
        <v>1101</v>
      </c>
      <c r="F571" s="2" t="s">
        <v>1092</v>
      </c>
      <c r="G571" s="2" t="s">
        <v>40</v>
      </c>
      <c r="H571" s="10">
        <v>2</v>
      </c>
      <c r="I571" s="8"/>
      <c r="J571" s="9">
        <v>22</v>
      </c>
      <c r="K571" s="9"/>
      <c r="L571" s="8"/>
      <c r="M571" s="8"/>
    </row>
    <row r="572" spans="1:13" ht="17.25" customHeight="1" x14ac:dyDescent="0.2">
      <c r="A572" s="2" t="s">
        <v>1102</v>
      </c>
      <c r="B572" s="2" t="s">
        <v>1085</v>
      </c>
      <c r="C572" s="2" t="s">
        <v>14</v>
      </c>
      <c r="D572" s="2" t="s">
        <v>38</v>
      </c>
      <c r="E572" s="2" t="s">
        <v>26</v>
      </c>
      <c r="F572" s="2" t="s">
        <v>1103</v>
      </c>
      <c r="G572" s="2" t="s">
        <v>1104</v>
      </c>
      <c r="H572" s="9">
        <f>59+206+9</f>
        <v>274</v>
      </c>
      <c r="I572" s="10">
        <f>(1*59+0.7*206+0.6*9)/$H572</f>
        <v>0.76131386861313866</v>
      </c>
      <c r="J572" s="10">
        <f>(3.2*59+3.1*206+2.2*9)/$H572</f>
        <v>3.0919708029197084</v>
      </c>
      <c r="K572" s="9"/>
      <c r="L572" s="8"/>
      <c r="M572" s="8"/>
    </row>
    <row r="573" spans="1:13" ht="17.25" customHeight="1" x14ac:dyDescent="0.2">
      <c r="A573" s="2" t="s">
        <v>1105</v>
      </c>
      <c r="B573" s="2" t="s">
        <v>1085</v>
      </c>
      <c r="C573" s="2" t="s">
        <v>24</v>
      </c>
      <c r="D573" s="2"/>
      <c r="E573" s="2" t="s">
        <v>26</v>
      </c>
      <c r="F573" s="2" t="s">
        <v>1092</v>
      </c>
      <c r="G573" s="2" t="s">
        <v>40</v>
      </c>
      <c r="H573" s="8">
        <f>1.81+0.94+1.1</f>
        <v>3.85</v>
      </c>
      <c r="I573" s="8">
        <f>(0.43*1.81+0.4*0.94+0.5*1.1)/$H573</f>
        <v>0.44267532467532472</v>
      </c>
      <c r="J573" s="8">
        <f>(2.37*1.81+1.9*0.94+2*1.1)/$H573</f>
        <v>2.1495324675324676</v>
      </c>
      <c r="K573" s="10">
        <f>(17.7*1.81+14*0.94+10*1.1)/$H573</f>
        <v>14.596623376623377</v>
      </c>
      <c r="L573" s="10">
        <f>(1.39*1.81+1.1*0.94+1*1.1)/$H573</f>
        <v>1.2077662337662338</v>
      </c>
      <c r="M573" s="10">
        <f>(0.54*1.81+0.4*0.94+0.4*1.1)/$H573</f>
        <v>0.46581818181818185</v>
      </c>
    </row>
    <row r="574" spans="1:13" ht="17.25" customHeight="1" x14ac:dyDescent="0.2">
      <c r="A574" s="2" t="s">
        <v>1106</v>
      </c>
      <c r="B574" s="2" t="s">
        <v>1085</v>
      </c>
      <c r="C574" s="15" t="s">
        <v>1091</v>
      </c>
      <c r="D574" s="2"/>
      <c r="E574" s="15" t="s">
        <v>171</v>
      </c>
      <c r="F574" s="2" t="s">
        <v>1092</v>
      </c>
      <c r="G574" s="2" t="s">
        <v>40</v>
      </c>
      <c r="H574" s="8">
        <f>2.9+3.8</f>
        <v>6.6999999999999993</v>
      </c>
      <c r="I574" s="8">
        <f>(0.4*2.9+0.3*3.8)/$H574</f>
        <v>0.34328358208955223</v>
      </c>
      <c r="J574" s="8">
        <f>(0.7*2.9+0.6*3.8)/$H574</f>
        <v>0.64328358208955227</v>
      </c>
      <c r="K574" s="10">
        <f>(12*2.9+11*3.8)/$H574</f>
        <v>11.432835820895523</v>
      </c>
      <c r="L574" s="8">
        <f>(0.03*2.9+0.04*3.8)/$H574</f>
        <v>3.5671641791044775E-2</v>
      </c>
      <c r="M574" s="10">
        <f>(1.1*2.9+1*3.8)/$H574</f>
        <v>1.0432835820895523</v>
      </c>
    </row>
    <row r="575" spans="1:13" ht="17.25" customHeight="1" x14ac:dyDescent="0.2">
      <c r="A575" s="2" t="s">
        <v>1107</v>
      </c>
      <c r="B575" s="2" t="s">
        <v>1085</v>
      </c>
      <c r="C575" s="2" t="s">
        <v>14</v>
      </c>
      <c r="D575" s="2" t="s">
        <v>38</v>
      </c>
      <c r="E575" s="2" t="s">
        <v>26</v>
      </c>
      <c r="F575" s="2" t="s">
        <v>1103</v>
      </c>
      <c r="G575" s="2" t="s">
        <v>1104</v>
      </c>
      <c r="H575" s="8">
        <f>7.557+3.583</f>
        <v>11.14</v>
      </c>
      <c r="I575" s="8">
        <f>(2.46*7.557+2.13*3.583)/$H575</f>
        <v>2.3538608617594257</v>
      </c>
      <c r="J575" s="8">
        <f>(4.78*7.557+4.55*3.583)/$H575</f>
        <v>4.7060242369838425</v>
      </c>
      <c r="K575" s="9"/>
      <c r="L575" s="8"/>
      <c r="M575" s="8"/>
    </row>
    <row r="576" spans="1:13" ht="17.25" customHeight="1" x14ac:dyDescent="0.2">
      <c r="A576" s="2" t="s">
        <v>1108</v>
      </c>
      <c r="B576" s="2" t="s">
        <v>1085</v>
      </c>
      <c r="C576" s="2" t="s">
        <v>24</v>
      </c>
      <c r="D576" s="2"/>
      <c r="E576" s="2" t="s">
        <v>26</v>
      </c>
      <c r="F576" s="2" t="s">
        <v>1092</v>
      </c>
      <c r="G576" s="2" t="s">
        <v>40</v>
      </c>
      <c r="H576" s="8">
        <f>11.8+5+1</f>
        <v>17.8</v>
      </c>
      <c r="I576" s="8">
        <f>(1.12*11.8+0.6*5+1*1)/$H576</f>
        <v>0.96719101123595508</v>
      </c>
      <c r="J576" s="8">
        <f>(4.94*11.8+3.5*5+4*1)/$H576</f>
        <v>4.4826966292134829</v>
      </c>
      <c r="K576" s="10">
        <f>(13.6*11.8+8.3*5+9*1)/$H576</f>
        <v>11.852808988764046</v>
      </c>
      <c r="L576" s="10">
        <f>(0.47*11.8+0.4*5+0.4*1)/$H576</f>
        <v>0.44640449438202251</v>
      </c>
      <c r="M576" s="10">
        <f>(0.64*11.8+0.6*5+0.6*1)/$H576</f>
        <v>0.62651685393258416</v>
      </c>
    </row>
    <row r="577" spans="1:13" ht="17.25" customHeight="1" x14ac:dyDescent="0.2">
      <c r="A577" s="2" t="s">
        <v>1109</v>
      </c>
      <c r="B577" s="2" t="s">
        <v>1085</v>
      </c>
      <c r="C577" s="15" t="s">
        <v>170</v>
      </c>
      <c r="D577" s="2"/>
      <c r="E577" s="15" t="s">
        <v>171</v>
      </c>
      <c r="F577" s="2" t="s">
        <v>1092</v>
      </c>
      <c r="G577" s="2" t="s">
        <v>1110</v>
      </c>
      <c r="H577" s="8">
        <v>1.1499999999999999</v>
      </c>
      <c r="I577" s="8">
        <v>0.44</v>
      </c>
      <c r="J577" s="8">
        <v>2.2599999999999998</v>
      </c>
      <c r="K577" s="10">
        <v>5.13</v>
      </c>
      <c r="L577" s="10">
        <v>0.23</v>
      </c>
      <c r="M577" s="10">
        <v>0.38</v>
      </c>
    </row>
    <row r="578" spans="1:13" ht="17.25" customHeight="1" x14ac:dyDescent="0.2">
      <c r="A578" s="2" t="s">
        <v>1111</v>
      </c>
      <c r="B578" s="2" t="s">
        <v>1085</v>
      </c>
      <c r="C578" s="2" t="s">
        <v>14</v>
      </c>
      <c r="D578" s="2"/>
      <c r="E578" s="7" t="s">
        <v>16</v>
      </c>
      <c r="F578" s="2" t="s">
        <v>17</v>
      </c>
      <c r="G578" s="2" t="s">
        <v>430</v>
      </c>
      <c r="H578" s="9">
        <v>20</v>
      </c>
      <c r="I578" s="9">
        <v>2</v>
      </c>
      <c r="J578" s="9">
        <v>5</v>
      </c>
      <c r="K578" s="9"/>
      <c r="L578" s="8">
        <v>0.5</v>
      </c>
      <c r="M578" s="8"/>
    </row>
    <row r="579" spans="1:13" ht="17.25" customHeight="1" x14ac:dyDescent="0.2">
      <c r="A579" s="2" t="s">
        <v>1112</v>
      </c>
      <c r="B579" s="2" t="s">
        <v>1113</v>
      </c>
      <c r="C579" s="2" t="s">
        <v>14</v>
      </c>
      <c r="D579" s="2" t="s">
        <v>38</v>
      </c>
      <c r="E579" s="2" t="s">
        <v>26</v>
      </c>
      <c r="F579" s="2" t="s">
        <v>1114</v>
      </c>
      <c r="G579" s="2" t="s">
        <v>1115</v>
      </c>
      <c r="H579" s="8">
        <v>1.58</v>
      </c>
      <c r="I579" s="8"/>
      <c r="J579" s="8">
        <v>4.5</v>
      </c>
      <c r="K579" s="8">
        <v>33.770000000000003</v>
      </c>
      <c r="L579" s="8">
        <v>2.08</v>
      </c>
      <c r="M579" s="8">
        <v>0.56000000000000005</v>
      </c>
    </row>
    <row r="580" spans="1:13" ht="17.25" customHeight="1" x14ac:dyDescent="0.2">
      <c r="A580" s="2" t="s">
        <v>1116</v>
      </c>
      <c r="B580" s="2" t="s">
        <v>1117</v>
      </c>
      <c r="C580" s="2" t="s">
        <v>132</v>
      </c>
      <c r="D580" s="2"/>
      <c r="E580" s="7" t="s">
        <v>16</v>
      </c>
      <c r="F580" s="2" t="s">
        <v>17</v>
      </c>
      <c r="G580" s="2" t="s">
        <v>1118</v>
      </c>
      <c r="H580" s="8">
        <f>(0.2034/(1.14/100))</f>
        <v>17.842105263157897</v>
      </c>
      <c r="I580" s="10">
        <v>4</v>
      </c>
      <c r="J580" s="8">
        <v>4.3</v>
      </c>
      <c r="K580" s="8">
        <v>13.2</v>
      </c>
      <c r="L580" s="8">
        <v>1.1399999999999999</v>
      </c>
      <c r="M580" s="8">
        <v>1.93</v>
      </c>
    </row>
    <row r="581" spans="1:13" ht="17.25" customHeight="1" x14ac:dyDescent="0.2">
      <c r="A581" s="2" t="s">
        <v>1119</v>
      </c>
      <c r="B581" s="2" t="s">
        <v>1117</v>
      </c>
      <c r="C581" s="2" t="s">
        <v>576</v>
      </c>
      <c r="D581" s="2"/>
      <c r="E581" s="2" t="s">
        <v>26</v>
      </c>
      <c r="F581" s="2" t="s">
        <v>1120</v>
      </c>
      <c r="G581" s="2" t="s">
        <v>583</v>
      </c>
      <c r="H581" s="11">
        <v>1.58223</v>
      </c>
      <c r="I581" s="8">
        <v>0.52</v>
      </c>
      <c r="J581" s="8"/>
      <c r="K581" s="8">
        <v>48.05</v>
      </c>
      <c r="L581" s="8">
        <v>1.49</v>
      </c>
      <c r="M581" s="8"/>
    </row>
    <row r="582" spans="1:13" ht="17.25" customHeight="1" x14ac:dyDescent="0.2">
      <c r="A582" s="2" t="s">
        <v>1121</v>
      </c>
      <c r="B582" s="2" t="s">
        <v>1122</v>
      </c>
      <c r="C582" s="2" t="s">
        <v>141</v>
      </c>
      <c r="D582" s="2" t="s">
        <v>333</v>
      </c>
      <c r="E582" s="2" t="s">
        <v>26</v>
      </c>
      <c r="F582" s="2" t="s">
        <v>1123</v>
      </c>
      <c r="G582" s="2" t="s">
        <v>82</v>
      </c>
      <c r="H582" s="8">
        <v>0.9</v>
      </c>
      <c r="I582" s="8">
        <v>1.9</v>
      </c>
      <c r="J582" s="9">
        <v>9</v>
      </c>
      <c r="K582" s="9"/>
      <c r="L582" s="8"/>
      <c r="M582" s="8"/>
    </row>
    <row r="583" spans="1:13" ht="17.25" customHeight="1" x14ac:dyDescent="0.2">
      <c r="A583" s="2" t="s">
        <v>1124</v>
      </c>
      <c r="B583" s="2" t="s">
        <v>1122</v>
      </c>
      <c r="C583" s="2" t="s">
        <v>14</v>
      </c>
      <c r="D583" s="2" t="s">
        <v>15</v>
      </c>
      <c r="E583" s="2" t="s">
        <v>26</v>
      </c>
      <c r="F583" s="2" t="s">
        <v>1123</v>
      </c>
      <c r="G583" s="2" t="s">
        <v>82</v>
      </c>
      <c r="H583" s="8">
        <v>2.1</v>
      </c>
      <c r="I583" s="8">
        <v>1.2</v>
      </c>
      <c r="J583" s="8">
        <v>7.2</v>
      </c>
      <c r="K583" s="9"/>
      <c r="L583" s="8"/>
      <c r="M583" s="8"/>
    </row>
    <row r="584" spans="1:13" ht="17.25" customHeight="1" x14ac:dyDescent="0.2">
      <c r="A584" s="2" t="s">
        <v>1125</v>
      </c>
      <c r="B584" s="2" t="s">
        <v>1126</v>
      </c>
      <c r="C584" s="2" t="s">
        <v>30</v>
      </c>
      <c r="D584" s="2" t="s">
        <v>1127</v>
      </c>
      <c r="E584" s="2" t="s">
        <v>26</v>
      </c>
      <c r="F584" s="2" t="s">
        <v>1128</v>
      </c>
      <c r="G584" s="2" t="s">
        <v>1129</v>
      </c>
      <c r="H584" s="8">
        <v>6.6360000000000001</v>
      </c>
      <c r="I584" s="8">
        <v>0.438</v>
      </c>
      <c r="J584" s="8">
        <v>2.63</v>
      </c>
      <c r="K584" s="9"/>
      <c r="L584" s="8">
        <v>1.39</v>
      </c>
      <c r="M584" s="8"/>
    </row>
    <row r="585" spans="1:13" ht="17.25" customHeight="1" x14ac:dyDescent="0.2">
      <c r="A585" s="2" t="s">
        <v>1130</v>
      </c>
      <c r="B585" s="2" t="s">
        <v>1126</v>
      </c>
      <c r="C585" s="2" t="s">
        <v>1131</v>
      </c>
      <c r="D585" s="2"/>
      <c r="E585" s="2" t="s">
        <v>26</v>
      </c>
      <c r="F585" s="2" t="s">
        <v>1132</v>
      </c>
      <c r="G585" s="2" t="s">
        <v>1133</v>
      </c>
      <c r="H585" s="8">
        <f>92.398+432.112+80.175</f>
        <v>604.68499999999995</v>
      </c>
      <c r="I585" s="8"/>
      <c r="J585" s="8">
        <f>(0.44*92.398+0.57*432.112+0.45*80.175)/$H585</f>
        <v>0.53422477819029746</v>
      </c>
      <c r="K585" s="8">
        <f>(3.86*92.398+4.07*432.112+3.11*80.175)/$H585</f>
        <v>3.9106251519386142</v>
      </c>
      <c r="L585" s="8">
        <f>(0.47*92.398+0.38*432.112+0.38*80.175)/$H585</f>
        <v>0.3937523173222422</v>
      </c>
      <c r="M585" s="8">
        <f>(0.05*92.398+0.03*432.112+0.02*80.175)/$H585</f>
        <v>3.1730173561441082E-2</v>
      </c>
    </row>
    <row r="586" spans="1:13" ht="17.25" customHeight="1" x14ac:dyDescent="0.2">
      <c r="A586" s="2" t="s">
        <v>1134</v>
      </c>
      <c r="B586" s="2" t="s">
        <v>1126</v>
      </c>
      <c r="C586" s="2" t="s">
        <v>132</v>
      </c>
      <c r="D586" s="2"/>
      <c r="E586" s="2" t="s">
        <v>26</v>
      </c>
      <c r="F586" s="2" t="s">
        <v>1135</v>
      </c>
      <c r="G586" s="2" t="s">
        <v>361</v>
      </c>
      <c r="H586" s="8">
        <f>10.62+0.43</f>
        <v>11.049999999999999</v>
      </c>
      <c r="I586" s="8">
        <f>(2*10.62+1.73*0.43)/$H586</f>
        <v>1.9894932126696834</v>
      </c>
      <c r="J586" s="8">
        <f>(2.13*10.62+1.44*0.43)/$H586</f>
        <v>2.1031493212669683</v>
      </c>
      <c r="K586" s="10">
        <f>(53.81*10.62+46.39*0.43)/$H586</f>
        <v>53.521257918552038</v>
      </c>
      <c r="L586" s="8">
        <f>(0.19*10.62+0.18*0.43)/$H586</f>
        <v>0.18961085972850678</v>
      </c>
      <c r="M586" s="8"/>
    </row>
    <row r="587" spans="1:13" ht="17.25" customHeight="1" x14ac:dyDescent="0.2">
      <c r="A587" s="2" t="s">
        <v>1136</v>
      </c>
      <c r="B587" s="2" t="s">
        <v>1126</v>
      </c>
      <c r="C587" s="2" t="s">
        <v>132</v>
      </c>
      <c r="D587" s="2"/>
      <c r="E587" s="2" t="s">
        <v>26</v>
      </c>
      <c r="F587" s="2" t="s">
        <v>1137</v>
      </c>
      <c r="G587" s="2" t="s">
        <v>82</v>
      </c>
      <c r="H587" s="8">
        <v>6.1420000000000003</v>
      </c>
      <c r="I587" s="8">
        <v>0.55000000000000004</v>
      </c>
      <c r="J587" s="8">
        <v>6.11</v>
      </c>
      <c r="K587" s="10">
        <v>40.25</v>
      </c>
      <c r="L587" s="8">
        <v>0.32</v>
      </c>
      <c r="M587" s="8"/>
    </row>
    <row r="588" spans="1:13" ht="17.25" customHeight="1" x14ac:dyDescent="0.2">
      <c r="A588" s="2" t="s">
        <v>1138</v>
      </c>
      <c r="B588" s="2" t="s">
        <v>1126</v>
      </c>
      <c r="C588" s="2" t="s">
        <v>457</v>
      </c>
      <c r="D588" s="2"/>
      <c r="E588" s="2" t="s">
        <v>26</v>
      </c>
      <c r="F588" s="2" t="s">
        <v>1139</v>
      </c>
      <c r="G588" s="2" t="s">
        <v>1140</v>
      </c>
      <c r="H588" s="8">
        <f>85.82+178.86+159.85</f>
        <v>424.53</v>
      </c>
      <c r="I588" s="8"/>
      <c r="J588" s="8">
        <f>(0.5*85.82+0.71*178.86+0.7*159.85)/H588</f>
        <v>0.66378253598096715</v>
      </c>
      <c r="K588" s="10"/>
      <c r="L588" s="8">
        <f>(0.82*85.82+0.74*178.86+0.47*159.85)/H588</f>
        <v>0.65450804419004549</v>
      </c>
      <c r="M588" s="8"/>
    </row>
    <row r="589" spans="1:13" ht="17.25" customHeight="1" x14ac:dyDescent="0.2">
      <c r="A589" s="2" t="s">
        <v>1141</v>
      </c>
      <c r="B589" s="2" t="s">
        <v>1126</v>
      </c>
      <c r="C589" s="2" t="s">
        <v>132</v>
      </c>
      <c r="D589" s="2"/>
      <c r="E589" s="2" t="s">
        <v>26</v>
      </c>
      <c r="F589" s="2" t="s">
        <v>1142</v>
      </c>
      <c r="G589" s="2" t="s">
        <v>594</v>
      </c>
      <c r="H589" s="8">
        <f>12.927+12.611+9.12</f>
        <v>34.658000000000001</v>
      </c>
      <c r="I589" s="8"/>
      <c r="J589" s="8">
        <f>(0.76*12.927+0.75*12.611+0.74*9.12)/$H589</f>
        <v>0.75109844768884526</v>
      </c>
      <c r="K589" s="10">
        <f>(17.8*12.927+11.9*12.611+15.1*9.12)/$H589</f>
        <v>14.942682786081136</v>
      </c>
      <c r="L589" s="8">
        <f>(0.72*12.927+0.52*12.611+1.27*9.12)/$H589</f>
        <v>0.79195452709331171</v>
      </c>
      <c r="M589" s="10">
        <f>(0.2*12.927+0.2*12.611+0.2*9.12)/$H589</f>
        <v>0.19999999999999998</v>
      </c>
    </row>
    <row r="590" spans="1:13" ht="17.25" customHeight="1" x14ac:dyDescent="0.2">
      <c r="A590" s="2" t="s">
        <v>1143</v>
      </c>
      <c r="B590" s="2" t="s">
        <v>1126</v>
      </c>
      <c r="C590" s="2" t="s">
        <v>576</v>
      </c>
      <c r="D590" s="2"/>
      <c r="E590" s="2" t="s">
        <v>26</v>
      </c>
      <c r="F590" s="2" t="s">
        <v>1144</v>
      </c>
      <c r="G590" s="2" t="s">
        <v>1129</v>
      </c>
      <c r="H590" s="9">
        <v>36</v>
      </c>
      <c r="I590" s="8"/>
      <c r="J590" s="8">
        <v>3.3</v>
      </c>
      <c r="K590" s="9">
        <v>29</v>
      </c>
      <c r="L590" s="8">
        <v>0.69</v>
      </c>
      <c r="M590" s="8"/>
    </row>
    <row r="591" spans="1:13" ht="17.25" customHeight="1" x14ac:dyDescent="0.2">
      <c r="A591" s="2" t="s">
        <v>1145</v>
      </c>
      <c r="B591" s="2" t="s">
        <v>1126</v>
      </c>
      <c r="C591" s="2" t="s">
        <v>132</v>
      </c>
      <c r="D591" s="2"/>
      <c r="E591" s="2" t="s">
        <v>26</v>
      </c>
      <c r="F591" s="2" t="s">
        <v>1146</v>
      </c>
      <c r="G591" s="2" t="s">
        <v>82</v>
      </c>
      <c r="H591" s="8">
        <f>182.94+181.04</f>
        <v>363.98</v>
      </c>
      <c r="I591" s="8">
        <f>(0.08*182.94+0.07*181.04)/$H591</f>
        <v>7.5026100335183254E-2</v>
      </c>
      <c r="J591" s="8">
        <f>(0.26*182.94+0.26*181.04)/$H591</f>
        <v>0.26</v>
      </c>
      <c r="K591" s="10">
        <f>(9.63*182.94+7.25*181.04)/$H591</f>
        <v>8.4462118797736139</v>
      </c>
      <c r="L591" s="8"/>
      <c r="M591" s="8"/>
    </row>
    <row r="592" spans="1:13" ht="17.25" customHeight="1" x14ac:dyDescent="0.2">
      <c r="A592" s="2" t="s">
        <v>1147</v>
      </c>
      <c r="B592" s="2" t="s">
        <v>1126</v>
      </c>
      <c r="C592" s="2" t="s">
        <v>24</v>
      </c>
      <c r="D592" s="2"/>
      <c r="E592" s="2" t="s">
        <v>26</v>
      </c>
      <c r="F592" s="2" t="s">
        <v>625</v>
      </c>
      <c r="G592" s="2" t="s">
        <v>40</v>
      </c>
      <c r="H592" s="8">
        <f>10.26+6.7+2.14</f>
        <v>19.100000000000001</v>
      </c>
      <c r="I592" s="8">
        <f>(0.9*10.26+0.84*6.7+0.81*2.14)/$H592</f>
        <v>0.86886910994764399</v>
      </c>
      <c r="J592" s="8">
        <f>(4.31*10.26+3.14*6.7+2.44*2.14)/$H592</f>
        <v>3.6900628272251303</v>
      </c>
      <c r="K592" s="12">
        <f>(114*10.26+110*6.7+105*2.14)/$H592</f>
        <v>111.58848167539264</v>
      </c>
      <c r="L592" s="8">
        <f>(0.73*10.26+0.71*6.7+0.71*2.14)/$H592</f>
        <v>0.72074345549738217</v>
      </c>
      <c r="M592" s="8">
        <f>(1.34*10.26+1.72*6.7+1.88*2.14)/$H592</f>
        <v>1.5338010471204186</v>
      </c>
    </row>
    <row r="593" spans="1:13" ht="17.25" customHeight="1" x14ac:dyDescent="0.2">
      <c r="A593" s="2" t="s">
        <v>1148</v>
      </c>
      <c r="B593" s="2" t="s">
        <v>1126</v>
      </c>
      <c r="C593" s="2" t="s">
        <v>24</v>
      </c>
      <c r="D593" s="2"/>
      <c r="E593" s="2" t="s">
        <v>26</v>
      </c>
      <c r="F593" s="2" t="s">
        <v>1149</v>
      </c>
      <c r="G593" s="2" t="s">
        <v>1150</v>
      </c>
      <c r="H593" s="11">
        <f>3.104944+1.807302+0.371066</f>
        <v>5.2833119999999996</v>
      </c>
      <c r="I593" s="8">
        <f>(0.33*3.104944+0.36*1.807302+0.28*0.371066)/$H593</f>
        <v>0.33675064429282242</v>
      </c>
      <c r="J593" s="8">
        <f>(0.93*3.104944+0.8*1.807302+0.71*0.371066)/$H593</f>
        <v>0.87007853785655676</v>
      </c>
      <c r="K593" s="10">
        <f>(46.46*3.104944+44.5*1.807302+36.54*0.371066)/$H593</f>
        <v>45.092810888321573</v>
      </c>
      <c r="L593" s="8">
        <f>(0.06*3.104944+0.07*1.807302+0.06*0.371066)/$H593</f>
        <v>6.3420774695872609E-2</v>
      </c>
      <c r="M593" s="8">
        <f>(0.19*3.104944+0.199*1.807302+0.161*0.371066)/$H593</f>
        <v>0.19104192294530403</v>
      </c>
    </row>
    <row r="594" spans="1:13" ht="17.25" customHeight="1" x14ac:dyDescent="0.2">
      <c r="A594" s="2" t="s">
        <v>1151</v>
      </c>
      <c r="B594" s="2" t="s">
        <v>1126</v>
      </c>
      <c r="C594" s="2" t="s">
        <v>30</v>
      </c>
      <c r="D594" s="2" t="s">
        <v>1152</v>
      </c>
      <c r="E594" s="2" t="s">
        <v>26</v>
      </c>
      <c r="F594" s="2" t="s">
        <v>1153</v>
      </c>
      <c r="G594" s="2" t="s">
        <v>686</v>
      </c>
      <c r="H594" s="8">
        <f>1.97+10.38+10.806</f>
        <v>23.155999999999999</v>
      </c>
      <c r="I594" s="8">
        <f>(0.11*1.97+0.2*10.38+0.29*10.806)/$H594</f>
        <v>0.23434271894973224</v>
      </c>
      <c r="J594" s="8">
        <f>(0.26*1.97+0.55*10.38+0.82*10.806)/$H594</f>
        <v>0.65132665399896361</v>
      </c>
      <c r="K594" s="10">
        <f>(19.99*1.97+13.52*10.38+11.21*10.806)/$H594</f>
        <v>12.992449473138713</v>
      </c>
      <c r="L594" s="8"/>
      <c r="M594" s="8">
        <f>(0.91*1.97+0.53*10.38+0.38*10.806)/$H594</f>
        <v>0.49232941786146145</v>
      </c>
    </row>
    <row r="595" spans="1:13" ht="17.25" customHeight="1" x14ac:dyDescent="0.2">
      <c r="A595" s="2" t="s">
        <v>1154</v>
      </c>
      <c r="B595" s="2" t="s">
        <v>1126</v>
      </c>
      <c r="C595" s="2" t="s">
        <v>30</v>
      </c>
      <c r="D595" s="2"/>
      <c r="E595" s="2" t="s">
        <v>26</v>
      </c>
      <c r="F595" s="2" t="s">
        <v>1144</v>
      </c>
      <c r="G595" s="2" t="s">
        <v>1129</v>
      </c>
      <c r="H595" s="9">
        <v>16</v>
      </c>
      <c r="I595" s="8">
        <v>0.36</v>
      </c>
      <c r="J595" s="8">
        <v>3.08</v>
      </c>
      <c r="K595" s="9">
        <v>95</v>
      </c>
      <c r="L595" s="8">
        <v>0.69</v>
      </c>
      <c r="M595" s="8"/>
    </row>
    <row r="596" spans="1:13" ht="17.25" customHeight="1" x14ac:dyDescent="0.2">
      <c r="A596" s="2" t="s">
        <v>1155</v>
      </c>
      <c r="B596" s="2" t="s">
        <v>1126</v>
      </c>
      <c r="C596" s="2" t="s">
        <v>30</v>
      </c>
      <c r="D596" s="2"/>
      <c r="E596" s="2" t="s">
        <v>26</v>
      </c>
      <c r="F596" s="2" t="s">
        <v>1156</v>
      </c>
      <c r="G596" s="2" t="s">
        <v>264</v>
      </c>
      <c r="H596" s="8">
        <f>4.429+30.614+22.92</f>
        <v>57.963000000000001</v>
      </c>
      <c r="I596" s="8">
        <f>(0.179*4.429+0.152*30.614+0.133*22.92)/$H596</f>
        <v>0.14655002329071995</v>
      </c>
      <c r="J596" s="8">
        <f>(0.277*4.429+0.244*30.614+0.22*22.92)/$H596</f>
        <v>0.23703136483618861</v>
      </c>
      <c r="K596" s="10">
        <f>(37.44*4.429+32.77*30.614+28.55*22.92)/$H596</f>
        <v>31.458146403740322</v>
      </c>
      <c r="L596" s="8"/>
      <c r="M596" s="8">
        <f>(0.497*4.429+0.446*30.614+0.478*22.92)/$H596</f>
        <v>0.46255054086227421</v>
      </c>
    </row>
    <row r="597" spans="1:13" ht="17.25" customHeight="1" x14ac:dyDescent="0.2">
      <c r="A597" s="2" t="s">
        <v>1157</v>
      </c>
      <c r="B597" s="2" t="s">
        <v>1126</v>
      </c>
      <c r="C597" s="2" t="s">
        <v>132</v>
      </c>
      <c r="D597" s="2"/>
      <c r="E597" s="2" t="s">
        <v>26</v>
      </c>
      <c r="F597" s="2" t="s">
        <v>1158</v>
      </c>
      <c r="G597" s="2" t="s">
        <v>1159</v>
      </c>
      <c r="H597" s="8">
        <v>14.93</v>
      </c>
      <c r="I597" s="8">
        <v>2.5499999999999998</v>
      </c>
      <c r="J597" s="8">
        <v>5.77</v>
      </c>
      <c r="K597" s="9">
        <v>117</v>
      </c>
      <c r="L597" s="8"/>
      <c r="M597" s="8">
        <v>0.23</v>
      </c>
    </row>
    <row r="598" spans="1:13" ht="17.25" customHeight="1" x14ac:dyDescent="0.2">
      <c r="A598" s="2" t="s">
        <v>1160</v>
      </c>
      <c r="B598" s="2" t="s">
        <v>1126</v>
      </c>
      <c r="C598" s="2" t="s">
        <v>42</v>
      </c>
      <c r="D598" s="2"/>
      <c r="E598" s="2" t="s">
        <v>26</v>
      </c>
      <c r="F598" s="2" t="s">
        <v>1161</v>
      </c>
      <c r="G598" s="2" t="s">
        <v>1162</v>
      </c>
      <c r="H598" s="8">
        <f>848.462+92.158</f>
        <v>940.62</v>
      </c>
      <c r="I598" s="11">
        <f>(0.254*848.462+0.195*92.158)/$H598</f>
        <v>0.24821942761157534</v>
      </c>
      <c r="J598" s="11">
        <f>(0.479*848.462+0.327*92.158)/$H598</f>
        <v>0.46410767791456697</v>
      </c>
      <c r="K598" s="10">
        <f>(17.91*848.462+15*92.158)/$H598</f>
        <v>17.624890412706513</v>
      </c>
      <c r="L598" s="8"/>
      <c r="M598" s="11">
        <f>(0.05*848.462+0.029*92.158)/$H598</f>
        <v>4.7942508132933603E-2</v>
      </c>
    </row>
    <row r="599" spans="1:13" ht="17.25" customHeight="1" x14ac:dyDescent="0.2">
      <c r="A599" s="2" t="s">
        <v>1163</v>
      </c>
      <c r="B599" s="2" t="s">
        <v>1126</v>
      </c>
      <c r="C599" s="2" t="s">
        <v>1164</v>
      </c>
      <c r="D599" s="2" t="s">
        <v>1165</v>
      </c>
      <c r="E599" s="2" t="s">
        <v>26</v>
      </c>
      <c r="F599" s="2" t="s">
        <v>620</v>
      </c>
      <c r="G599" s="2" t="s">
        <v>47</v>
      </c>
      <c r="H599" s="8">
        <f>3.29+8.53+3.34+1.15+0.75</f>
        <v>17.059999999999999</v>
      </c>
      <c r="I599" s="8">
        <f>(0.53*3.29+0.16*8.53+0.1*3.34+0.49*1.15+0.77*0.75)/$H599</f>
        <v>0.2686694021101993</v>
      </c>
      <c r="J599" s="8">
        <f>(1.44*3.29+0.98*8.53+0.91*3.34+3.64*1.15+3.62*0.75)/$H599</f>
        <v>1.3503751465416178</v>
      </c>
      <c r="K599" s="12">
        <f>(65*3.29+43*8.53+36*3.34+49.3*1.15+37.8*0.75)/$H599</f>
        <v>46.068288393903877</v>
      </c>
      <c r="L599" s="8">
        <f>(1.57*3.29+1.43*8.53+1.39*3.34+0.33*1.15+0.13*0.75)/$H599</f>
        <v>1.3178663540445488</v>
      </c>
      <c r="M599" s="8"/>
    </row>
    <row r="600" spans="1:13" ht="17.25" customHeight="1" x14ac:dyDescent="0.2">
      <c r="A600" s="2" t="s">
        <v>1166</v>
      </c>
      <c r="B600" s="2" t="s">
        <v>1126</v>
      </c>
      <c r="C600" s="2" t="s">
        <v>30</v>
      </c>
      <c r="D600" s="2"/>
      <c r="E600" s="2" t="s">
        <v>26</v>
      </c>
      <c r="F600" s="2" t="s">
        <v>1142</v>
      </c>
      <c r="G600" s="2" t="s">
        <v>741</v>
      </c>
      <c r="H600" s="11">
        <f>1.765954+1.04368+0.782287+0.005314+0.595069+0.424732</f>
        <v>4.6170359999999997</v>
      </c>
      <c r="I600" s="8">
        <f>(0.147*1.765954+0.175*1.04368+0.49*0.782287+1.004*0.005314+0.048*0.595069+0.101*0.424732)/$H600</f>
        <v>0.19544061774697014</v>
      </c>
      <c r="J600" s="8">
        <f>(0.177*1.765954+0.093*1.04368+0.432*0.782287+1.612*0.005314+0.028*0.595069+0.141*0.424732)/$H600</f>
        <v>0.18035367148967432</v>
      </c>
      <c r="K600" s="10">
        <f>(123.08*1.765954+300.256*1.04368+123.513*0.782287+152.158*0.005314+194.76*0.595069+120.258*0.424732)/$H600</f>
        <v>172.21633999366694</v>
      </c>
      <c r="L600" s="8"/>
      <c r="M600" s="11">
        <f>(0.028*1.765954+0.062*1.04368+0.118*0.782287+0.273*0.005314+0.093*0.595069+0.066*0.424732)/$H600</f>
        <v>6.3090083984616963E-2</v>
      </c>
    </row>
    <row r="601" spans="1:13" ht="17.25" customHeight="1" x14ac:dyDescent="0.2">
      <c r="A601" s="2" t="s">
        <v>1167</v>
      </c>
      <c r="B601" s="2" t="s">
        <v>1126</v>
      </c>
      <c r="C601" s="2" t="s">
        <v>132</v>
      </c>
      <c r="D601" s="2"/>
      <c r="E601" s="2" t="s">
        <v>26</v>
      </c>
      <c r="F601" s="2" t="s">
        <v>1168</v>
      </c>
      <c r="G601" s="2" t="s">
        <v>583</v>
      </c>
      <c r="H601" s="11">
        <f>1.151831+2.890322+1.439486+0.842282+6.886886+4.181904</f>
        <v>17.392710999999998</v>
      </c>
      <c r="I601" s="10">
        <f>(2.2*1.151831+3.9*2.890322+1.6*1.439486+3.6*0.842282+3.3*6.886886+0.2*4.181904)/$H601</f>
        <v>2.4553263375675018</v>
      </c>
      <c r="J601" s="10">
        <f>(2.2*1.151831+4*2.890322+1.4*1.439486+2*0.842282+4.6*6.886886+3.1*4.181904)/$H601</f>
        <v>3.5899371064119912</v>
      </c>
      <c r="K601" s="12">
        <f>(147*1.151831+219*2.890322+150*1.439486+173*0.842282+172*6.886886+7*4.181904)/$H601</f>
        <v>136.70985972227103</v>
      </c>
      <c r="L601" s="8"/>
      <c r="M601" s="8">
        <f>(0.01*1.151831+0.14*2.890322+0.02*1.439486+0.03*0.842282+0.1*6.886886+0.01*4.181904)/$H601</f>
        <v>6.9036345742765473E-2</v>
      </c>
    </row>
    <row r="602" spans="1:13" ht="17.25" customHeight="1" x14ac:dyDescent="0.2">
      <c r="A602" s="2" t="s">
        <v>1169</v>
      </c>
      <c r="B602" s="2" t="s">
        <v>1126</v>
      </c>
      <c r="C602" s="15" t="s">
        <v>1170</v>
      </c>
      <c r="D602" s="2"/>
      <c r="E602" s="15" t="s">
        <v>1171</v>
      </c>
      <c r="F602" s="2" t="s">
        <v>1172</v>
      </c>
      <c r="G602" s="2" t="s">
        <v>1173</v>
      </c>
      <c r="H602" s="9">
        <v>1</v>
      </c>
      <c r="I602" s="8"/>
      <c r="J602" s="8">
        <v>2.2999999999999998</v>
      </c>
      <c r="K602" s="9">
        <v>21</v>
      </c>
      <c r="L602" s="8">
        <v>0.4</v>
      </c>
      <c r="M602" s="8"/>
    </row>
    <row r="603" spans="1:13" ht="17.25" customHeight="1" x14ac:dyDescent="0.2">
      <c r="A603" s="2" t="s">
        <v>1174</v>
      </c>
      <c r="B603" s="2" t="s">
        <v>1126</v>
      </c>
      <c r="C603" s="2" t="s">
        <v>132</v>
      </c>
      <c r="D603" s="2"/>
      <c r="E603" s="2" t="s">
        <v>26</v>
      </c>
      <c r="F603" s="2" t="s">
        <v>1137</v>
      </c>
      <c r="G603" s="2" t="s">
        <v>82</v>
      </c>
      <c r="H603" s="8">
        <v>47.225000000000001</v>
      </c>
      <c r="I603" s="8">
        <v>0.74</v>
      </c>
      <c r="J603" s="8">
        <v>2.17</v>
      </c>
      <c r="K603" s="10">
        <v>20.73</v>
      </c>
      <c r="L603" s="8">
        <v>7.0000000000000007E-2</v>
      </c>
      <c r="M603" s="8"/>
    </row>
    <row r="604" spans="1:13" ht="17.25" customHeight="1" x14ac:dyDescent="0.2">
      <c r="A604" s="2" t="s">
        <v>1175</v>
      </c>
      <c r="B604" s="2" t="s">
        <v>1126</v>
      </c>
      <c r="C604" s="2" t="s">
        <v>30</v>
      </c>
      <c r="D604" s="2" t="s">
        <v>900</v>
      </c>
      <c r="E604" s="2" t="s">
        <v>26</v>
      </c>
      <c r="F604" s="2" t="s">
        <v>1176</v>
      </c>
      <c r="G604" s="2" t="s">
        <v>82</v>
      </c>
      <c r="H604" s="8">
        <f>8.605+12.664+0.03</f>
        <v>21.298999999999999</v>
      </c>
      <c r="I604" s="8">
        <f>(0.67*8.605+0.47*12.664+0.09*0.03)/$H604</f>
        <v>0.55026667918681638</v>
      </c>
      <c r="J604" s="8">
        <f>(1.61*8.605+1.29*12.664+2.1*0.03)/$H604</f>
        <v>1.4204239635663645</v>
      </c>
      <c r="K604" s="12">
        <f>(267*8.605+136*12.664+46*0.03)/$H604</f>
        <v>188.7984881919339</v>
      </c>
      <c r="L604" s="8"/>
      <c r="M604" s="8">
        <f>(0.09*8.605+0.06*12.664+0.05*0.03)/$H604</f>
        <v>7.2106202169115924E-2</v>
      </c>
    </row>
    <row r="605" spans="1:13" ht="17.25" customHeight="1" x14ac:dyDescent="0.2">
      <c r="A605" s="2" t="s">
        <v>1177</v>
      </c>
      <c r="B605" s="2" t="s">
        <v>1126</v>
      </c>
      <c r="C605" s="2" t="s">
        <v>30</v>
      </c>
      <c r="D605" s="2"/>
      <c r="E605" s="2" t="s">
        <v>26</v>
      </c>
      <c r="F605" s="2" t="s">
        <v>1178</v>
      </c>
      <c r="G605" s="2" t="s">
        <v>673</v>
      </c>
      <c r="H605" s="8">
        <f>1.012+3.468</f>
        <v>4.4800000000000004</v>
      </c>
      <c r="I605" s="10">
        <f>(1.2*1.012+1.2*3.468)/$H605</f>
        <v>1.1999999999999997</v>
      </c>
      <c r="J605" s="10">
        <f>(4.1*1.012+4.1*3.468)/$H605</f>
        <v>4.0999999999999996</v>
      </c>
      <c r="K605" s="12">
        <f>(280*1.012+190*3.468)/$H605</f>
        <v>210.33035714285711</v>
      </c>
      <c r="L605" s="8">
        <f>(0.39*1.012+0.3*3.468)/$H605</f>
        <v>0.32033035714285713</v>
      </c>
      <c r="M605" s="10">
        <f>(3.2*1.012+1.8*3.468)/$H605</f>
        <v>2.11625</v>
      </c>
    </row>
    <row r="606" spans="1:13" ht="17.25" customHeight="1" x14ac:dyDescent="0.2">
      <c r="A606" s="2" t="s">
        <v>1179</v>
      </c>
      <c r="B606" s="2" t="s">
        <v>1126</v>
      </c>
      <c r="C606" s="2" t="s">
        <v>30</v>
      </c>
      <c r="D606" s="2" t="s">
        <v>49</v>
      </c>
      <c r="E606" s="2" t="s">
        <v>26</v>
      </c>
      <c r="F606" s="2" t="s">
        <v>46</v>
      </c>
      <c r="G606" s="2" t="s">
        <v>47</v>
      </c>
      <c r="H606" s="8">
        <f>2.4+4.1+0.4+1.7+2.9</f>
        <v>11.5</v>
      </c>
      <c r="I606" s="8">
        <f>(1.35*2.4+1.3*4.1+0.4*0.4+0.51*1.7+1.34*2.9)/$H606</f>
        <v>1.1724347826086956</v>
      </c>
      <c r="J606" s="8">
        <f>(2.47*2.4+2.35*4.1+0.65*0.4+0.83*1.7+2.17*2.9)/$H606</f>
        <v>2.0458260869565215</v>
      </c>
      <c r="K606" s="12">
        <f>(406*2.4+378*4.1+164*0.4+255*1.7+265*2.9)/$H606</f>
        <v>329.72173913043474</v>
      </c>
      <c r="L606" s="8"/>
      <c r="M606" s="8">
        <f>(0.31*2.4+0.39*4.1+0.15*0.4+0.29*1.7+0.42*2.9)/$H606</f>
        <v>0.35773913043478262</v>
      </c>
    </row>
    <row r="607" spans="1:13" ht="17.25" customHeight="1" x14ac:dyDescent="0.2">
      <c r="A607" s="2" t="s">
        <v>1180</v>
      </c>
      <c r="B607" s="2" t="s">
        <v>1126</v>
      </c>
      <c r="C607" s="2" t="s">
        <v>14</v>
      </c>
      <c r="D607" s="2" t="s">
        <v>15</v>
      </c>
      <c r="E607" s="2" t="s">
        <v>26</v>
      </c>
      <c r="F607" s="2" t="s">
        <v>1168</v>
      </c>
      <c r="G607" s="2" t="s">
        <v>583</v>
      </c>
      <c r="H607" s="11">
        <f>1.023409+1.030341+3.185423+4.348724</f>
        <v>9.5878969999999999</v>
      </c>
      <c r="I607" s="10">
        <f>(2.9*1.023409+2.6*1.030341+1.6*3.185423+1.1*4.348724)/$H607</f>
        <v>1.6194422927154934</v>
      </c>
      <c r="J607" s="10">
        <f>(1.6*1.023409+1.2*1.030341+4.4*3.185423+1.5*4.348724)/$H607</f>
        <v>2.4419130493370966</v>
      </c>
      <c r="K607" s="12">
        <f>(316*1.023409+269*1.030341+213*3.185423+156*4.348724)/$H607</f>
        <v>204.15895331374543</v>
      </c>
      <c r="L607" s="8"/>
      <c r="M607" s="8"/>
    </row>
    <row r="608" spans="1:13" ht="17.25" customHeight="1" x14ac:dyDescent="0.2">
      <c r="A608" s="2" t="s">
        <v>1181</v>
      </c>
      <c r="B608" s="2" t="s">
        <v>1126</v>
      </c>
      <c r="C608" s="2" t="s">
        <v>889</v>
      </c>
      <c r="D608" s="2" t="s">
        <v>15</v>
      </c>
      <c r="E608" s="15" t="s">
        <v>171</v>
      </c>
      <c r="F608" s="2" t="s">
        <v>1168</v>
      </c>
      <c r="G608" s="2" t="s">
        <v>583</v>
      </c>
      <c r="H608" s="11">
        <f>5.304946</f>
        <v>5.3049460000000002</v>
      </c>
      <c r="I608" s="10">
        <f>(0.6*5.304946)/$H608</f>
        <v>0.6</v>
      </c>
      <c r="J608" s="10">
        <f>(0.2*5.304946)/$H608</f>
        <v>0.2</v>
      </c>
      <c r="K608" s="12">
        <f>(105*5.304946)/$H608</f>
        <v>104.99999999999999</v>
      </c>
      <c r="L608" s="8"/>
      <c r="M608" s="8"/>
    </row>
    <row r="609" spans="1:13" ht="17.25" customHeight="1" x14ac:dyDescent="0.2">
      <c r="A609" s="2" t="s">
        <v>1182</v>
      </c>
      <c r="B609" s="2" t="s">
        <v>1126</v>
      </c>
      <c r="C609" s="2" t="s">
        <v>30</v>
      </c>
      <c r="D609" s="2"/>
      <c r="E609" s="2" t="s">
        <v>26</v>
      </c>
      <c r="F609" s="2" t="s">
        <v>1168</v>
      </c>
      <c r="G609" s="2" t="s">
        <v>1183</v>
      </c>
      <c r="H609" s="8">
        <f>0.583+0.534</f>
        <v>1.117</v>
      </c>
      <c r="I609" s="8">
        <f>(0.869*0.583+0.923*0.534)/$H609</f>
        <v>0.8948155774395703</v>
      </c>
      <c r="J609" s="8">
        <f>(2.44*0.583+2.62*0.534)/$H609</f>
        <v>2.5260519247985678</v>
      </c>
      <c r="K609" s="10">
        <f>(250.5*0.583+224.9*0.534)/$H609</f>
        <v>238.26150402864818</v>
      </c>
      <c r="L609" s="11">
        <f>(0.092*0.583+0.089*0.534)/$H609</f>
        <v>9.0565801253357212E-2</v>
      </c>
      <c r="M609" s="8">
        <f>(0.17*0.583+0.178*0.534)/$H609</f>
        <v>0.17382452999104744</v>
      </c>
    </row>
    <row r="610" spans="1:13" ht="17.25" customHeight="1" x14ac:dyDescent="0.2">
      <c r="A610" s="2" t="s">
        <v>1184</v>
      </c>
      <c r="B610" s="2" t="s">
        <v>1126</v>
      </c>
      <c r="C610" s="2" t="s">
        <v>132</v>
      </c>
      <c r="D610" s="2"/>
      <c r="E610" s="2" t="s">
        <v>26</v>
      </c>
      <c r="F610" s="2" t="s">
        <v>1185</v>
      </c>
      <c r="G610" s="2" t="s">
        <v>594</v>
      </c>
      <c r="H610" s="8">
        <f>11.862+15.159+13.278</f>
        <v>40.298999999999999</v>
      </c>
      <c r="I610" s="8">
        <f>(0.9*11.862+0.92*15.159+0.88*13.278)/$H610</f>
        <v>0.90093352192362108</v>
      </c>
      <c r="J610" s="8">
        <f>(2.6*11.862+2.19*15.159+2.14*13.278)/$H610</f>
        <v>2.2942090374450981</v>
      </c>
      <c r="K610" s="10">
        <f>(133.42*11.862+130.12*15.159+126.05*13.278)/$H610</f>
        <v>129.75034169582372</v>
      </c>
      <c r="L610" s="8">
        <f>(0.5*11.862+0.41*15.159+0.42*13.278)/$H610</f>
        <v>0.43978634705575825</v>
      </c>
      <c r="M610" s="8"/>
    </row>
    <row r="611" spans="1:13" ht="17.25" customHeight="1" x14ac:dyDescent="0.2">
      <c r="A611" s="2" t="s">
        <v>1186</v>
      </c>
      <c r="B611" s="2" t="s">
        <v>1126</v>
      </c>
      <c r="C611" s="2" t="s">
        <v>132</v>
      </c>
      <c r="D611" s="2"/>
      <c r="E611" s="2" t="s">
        <v>26</v>
      </c>
      <c r="F611" s="2" t="s">
        <v>1168</v>
      </c>
      <c r="G611" s="2" t="s">
        <v>583</v>
      </c>
      <c r="H611" s="11">
        <f>2.05717+2.134451+1.134326+0.576248+13.254005</f>
        <v>19.156199999999998</v>
      </c>
      <c r="I611" s="10">
        <f>(0.3*2.05717+1.9*2.134451+0.2*1.134326+1.5*0.576248+1.3*13.254005)/$H611</f>
        <v>1.2003451415207609</v>
      </c>
      <c r="J611" s="10">
        <f>(0.3*2.05717+2.7*2.134451+0.1*1.134326+1.4*0.576248+1.5*13.254005)/$H611</f>
        <v>1.4189325649137097</v>
      </c>
      <c r="K611" s="12">
        <f>(157*2.05717+186*2.134451+123*1.134326+185*0.576248+172*13.254005)/$H611</f>
        <v>169.43863678600141</v>
      </c>
      <c r="L611" s="8"/>
      <c r="M611" s="8">
        <f>(0*2.05717+0*2.134451+0*1.134326+0*0.576248+0.02*13.254005)/$H611</f>
        <v>1.3837822741462294E-2</v>
      </c>
    </row>
    <row r="612" spans="1:13" ht="17.25" customHeight="1" x14ac:dyDescent="0.2">
      <c r="A612" s="2" t="s">
        <v>1187</v>
      </c>
      <c r="B612" s="2" t="s">
        <v>1126</v>
      </c>
      <c r="C612" s="2" t="s">
        <v>30</v>
      </c>
      <c r="D612" s="2"/>
      <c r="E612" s="2" t="s">
        <v>26</v>
      </c>
      <c r="F612" s="2" t="s">
        <v>1188</v>
      </c>
      <c r="G612" s="2" t="s">
        <v>1189</v>
      </c>
      <c r="H612" s="8">
        <f>6.37+19.12</f>
        <v>25.490000000000002</v>
      </c>
      <c r="I612" s="10">
        <f>(1.7*6.37+1.2*19.12)/$H612</f>
        <v>1.3249509611612393</v>
      </c>
      <c r="J612" s="10">
        <f>(3.7*6.37+2.4*19.12)/$H612</f>
        <v>2.7248724990192228</v>
      </c>
      <c r="K612" s="12">
        <f>(167*6.37+99*19.12)/$H612</f>
        <v>115.99333071792859</v>
      </c>
      <c r="L612" s="10">
        <f>(0.1*6.37+0.1*19.12)/$H612</f>
        <v>0.1</v>
      </c>
      <c r="M612" s="8">
        <f>(0.27*6.37+0.13*19.12)/$H612</f>
        <v>0.16498626912514713</v>
      </c>
    </row>
    <row r="613" spans="1:13" ht="17.25" customHeight="1" x14ac:dyDescent="0.2">
      <c r="A613" s="2" t="s">
        <v>1190</v>
      </c>
      <c r="B613" s="2" t="s">
        <v>1126</v>
      </c>
      <c r="C613" s="2" t="s">
        <v>132</v>
      </c>
      <c r="D613" s="2"/>
      <c r="E613" s="2" t="s">
        <v>26</v>
      </c>
      <c r="F613" s="2" t="s">
        <v>1191</v>
      </c>
      <c r="G613" s="2" t="s">
        <v>264</v>
      </c>
      <c r="H613" s="11">
        <f>0.344832+0.834527+0.067557</f>
        <v>1.2469160000000001</v>
      </c>
      <c r="I613" s="8"/>
      <c r="J613" s="8">
        <f>(0.179*0.344832+0.153*0.834527+0.088*0.067557)/$H613</f>
        <v>0.15666859275203782</v>
      </c>
      <c r="K613" s="10">
        <f>(15.9*0.344832+12.8*0.834527+9.7*0.067557)/$H613</f>
        <v>13.489342746423977</v>
      </c>
      <c r="L613" s="8"/>
      <c r="M613" s="8">
        <f>(0.601*0.344832+0.46*0.834527+0.543*0.067557)/$H613</f>
        <v>0.50349013325677106</v>
      </c>
    </row>
    <row r="614" spans="1:13" ht="17.25" customHeight="1" x14ac:dyDescent="0.2">
      <c r="A614" s="2" t="s">
        <v>1192</v>
      </c>
      <c r="B614" s="2" t="s">
        <v>1126</v>
      </c>
      <c r="C614" s="2" t="s">
        <v>30</v>
      </c>
      <c r="D614" s="2" t="s">
        <v>1193</v>
      </c>
      <c r="E614" s="7" t="s">
        <v>16</v>
      </c>
      <c r="F614" s="2" t="s">
        <v>1194</v>
      </c>
      <c r="G614" s="2" t="s">
        <v>841</v>
      </c>
      <c r="H614" s="10">
        <v>2</v>
      </c>
      <c r="I614" s="8">
        <v>2.2000000000000002</v>
      </c>
      <c r="J614" s="8">
        <v>2.2999999999999998</v>
      </c>
      <c r="K614" s="9">
        <v>137</v>
      </c>
      <c r="L614" s="8"/>
      <c r="M614" s="8">
        <v>0.2</v>
      </c>
    </row>
    <row r="615" spans="1:13" ht="17.25" customHeight="1" x14ac:dyDescent="0.2">
      <c r="A615" s="2" t="s">
        <v>1195</v>
      </c>
      <c r="B615" s="2" t="s">
        <v>1126</v>
      </c>
      <c r="C615" s="2" t="s">
        <v>30</v>
      </c>
      <c r="D615" s="2" t="s">
        <v>49</v>
      </c>
      <c r="E615" s="2" t="s">
        <v>26</v>
      </c>
      <c r="F615" s="2" t="s">
        <v>1176</v>
      </c>
      <c r="G615" s="2" t="s">
        <v>82</v>
      </c>
      <c r="H615" s="8">
        <f>5.59+16.65+9.51</f>
        <v>31.75</v>
      </c>
      <c r="I615" s="8">
        <f>(0.85*5.59+0.49*16.65+0.43*9.51)/$H615</f>
        <v>0.53541102362204718</v>
      </c>
      <c r="J615" s="8">
        <f>(1.3*5.59+0.83*16.65+0.97*9.51)/$H615</f>
        <v>0.9546834645669291</v>
      </c>
      <c r="K615" s="12">
        <f>(125*5.59+144*16.65+146*9.51)/$H615</f>
        <v>141.25385826771651</v>
      </c>
      <c r="L615" s="8"/>
      <c r="M615" s="8">
        <f>(2.66*5.59+1.46*16.65+1.15*9.51)/$H615</f>
        <v>1.5784220472440942</v>
      </c>
    </row>
    <row r="616" spans="1:13" ht="17.25" customHeight="1" x14ac:dyDescent="0.2">
      <c r="A616" s="2" t="s">
        <v>1196</v>
      </c>
      <c r="B616" s="2" t="s">
        <v>1126</v>
      </c>
      <c r="C616" s="2" t="s">
        <v>30</v>
      </c>
      <c r="D616" s="2" t="s">
        <v>49</v>
      </c>
      <c r="E616" s="2" t="s">
        <v>26</v>
      </c>
      <c r="F616" s="2" t="s">
        <v>1176</v>
      </c>
      <c r="G616" s="2" t="s">
        <v>82</v>
      </c>
      <c r="H616" s="8">
        <f>9.66+26.27+33.56</f>
        <v>69.490000000000009</v>
      </c>
      <c r="I616" s="8">
        <f>(0.83*9.66+1.95*26.27+1.24*33.56)/$H616</f>
        <v>1.4514131529716503</v>
      </c>
      <c r="J616" s="8">
        <f>(1.41*9.66+3.68*26.27+2.56*33.56)/$H616</f>
        <v>2.8235400777090227</v>
      </c>
      <c r="K616" s="12">
        <f>(657*9.66+307*26.27+312*33.56)/$H616</f>
        <v>358.06921859260319</v>
      </c>
      <c r="L616" s="8"/>
      <c r="M616" s="8">
        <f>(0.78*9.66+0.8*26.27+0.71*33.56)/$H616</f>
        <v>0.75375449704993513</v>
      </c>
    </row>
    <row r="617" spans="1:13" ht="17.25" customHeight="1" x14ac:dyDescent="0.2">
      <c r="A617" s="2" t="s">
        <v>1197</v>
      </c>
      <c r="B617" s="2" t="s">
        <v>1126</v>
      </c>
      <c r="C617" s="2" t="s">
        <v>30</v>
      </c>
      <c r="D617" s="2"/>
      <c r="E617" s="2" t="s">
        <v>26</v>
      </c>
      <c r="F617" s="2" t="s">
        <v>1198</v>
      </c>
      <c r="G617" s="2" t="s">
        <v>1199</v>
      </c>
      <c r="H617" s="8">
        <f>4.816+3.205</f>
        <v>8.0210000000000008</v>
      </c>
      <c r="I617" s="8">
        <f>(2.09*4.816+1.66*3.205)/$H617</f>
        <v>1.9181822715372143</v>
      </c>
      <c r="J617" s="8">
        <f>(3.97*4.816+2.76*3.205)/$H617</f>
        <v>3.4865129036279758</v>
      </c>
      <c r="K617" s="12">
        <f>(516*4.816+343*3.205)/$H617</f>
        <v>446.87333250218177</v>
      </c>
      <c r="L617" s="8"/>
      <c r="M617" s="8">
        <f>(1.91*4.816+1.52*3.205)/$H617</f>
        <v>1.7541653160453805</v>
      </c>
    </row>
    <row r="618" spans="1:13" ht="17.25" customHeight="1" x14ac:dyDescent="0.2">
      <c r="A618" s="2" t="s">
        <v>1200</v>
      </c>
      <c r="B618" s="2" t="s">
        <v>1126</v>
      </c>
      <c r="C618" s="2" t="s">
        <v>162</v>
      </c>
      <c r="D618" s="2" t="s">
        <v>53</v>
      </c>
      <c r="E618" s="2" t="s">
        <v>26</v>
      </c>
      <c r="F618" s="2" t="s">
        <v>1176</v>
      </c>
      <c r="G618" s="2" t="s">
        <v>82</v>
      </c>
      <c r="H618" s="8">
        <v>44.25</v>
      </c>
      <c r="I618" s="8">
        <v>0.11</v>
      </c>
      <c r="J618" s="8">
        <v>0.17</v>
      </c>
      <c r="K618" s="9">
        <v>10</v>
      </c>
      <c r="L618" s="8"/>
      <c r="M618" s="8">
        <v>0.68</v>
      </c>
    </row>
    <row r="619" spans="1:13" ht="17.25" customHeight="1" x14ac:dyDescent="0.2">
      <c r="A619" s="2" t="s">
        <v>1201</v>
      </c>
      <c r="B619" s="2" t="s">
        <v>1126</v>
      </c>
      <c r="C619" s="2" t="s">
        <v>162</v>
      </c>
      <c r="D619" s="2" t="s">
        <v>53</v>
      </c>
      <c r="E619" s="2" t="s">
        <v>26</v>
      </c>
      <c r="F619" s="2" t="s">
        <v>1176</v>
      </c>
      <c r="G619" s="2" t="s">
        <v>82</v>
      </c>
      <c r="H619" s="8">
        <v>7.0490000000000004</v>
      </c>
      <c r="I619" s="8">
        <v>1.46</v>
      </c>
      <c r="J619" s="8">
        <v>1.27</v>
      </c>
      <c r="K619" s="9">
        <v>113</v>
      </c>
      <c r="L619" s="8"/>
      <c r="M619" s="8">
        <v>0.01</v>
      </c>
    </row>
    <row r="620" spans="1:13" ht="17.25" customHeight="1" x14ac:dyDescent="0.2">
      <c r="A620" s="2" t="s">
        <v>1202</v>
      </c>
      <c r="B620" s="2" t="s">
        <v>1126</v>
      </c>
      <c r="C620" s="2" t="s">
        <v>162</v>
      </c>
      <c r="D620" s="2" t="s">
        <v>53</v>
      </c>
      <c r="E620" s="2" t="s">
        <v>26</v>
      </c>
      <c r="F620" s="2" t="s">
        <v>1176</v>
      </c>
      <c r="G620" s="2" t="s">
        <v>82</v>
      </c>
      <c r="H620" s="8">
        <f>128.674+34.042</f>
        <v>162.71600000000001</v>
      </c>
      <c r="I620" s="8">
        <f>(0.27*128.674+0.21*34.042)/$H620</f>
        <v>0.25744733154698984</v>
      </c>
      <c r="J620" s="8">
        <f>(0.43*128.674+0.35*34.042)/$H620</f>
        <v>0.41326310872931982</v>
      </c>
      <c r="K620" s="12">
        <f>(25*128.674+37*34.042)/$H620</f>
        <v>27.510533690602031</v>
      </c>
      <c r="L620" s="8"/>
      <c r="M620" s="8">
        <f>(0.38*128.674+0.43*34.042)/$H620</f>
        <v>0.39046055704417515</v>
      </c>
    </row>
    <row r="621" spans="1:13" ht="17.25" customHeight="1" x14ac:dyDescent="0.2">
      <c r="A621" s="2" t="s">
        <v>1203</v>
      </c>
      <c r="B621" s="2" t="s">
        <v>1126</v>
      </c>
      <c r="C621" s="2" t="s">
        <v>30</v>
      </c>
      <c r="D621" s="2" t="s">
        <v>900</v>
      </c>
      <c r="E621" s="2" t="s">
        <v>26</v>
      </c>
      <c r="F621" s="2" t="s">
        <v>1176</v>
      </c>
      <c r="G621" s="2" t="s">
        <v>82</v>
      </c>
      <c r="H621" s="8">
        <f>1.37+9.44+33.58</f>
        <v>44.39</v>
      </c>
      <c r="I621" s="8">
        <f>(0.72*1.37+2.19*9.44+1.17*33.58)/$H621</f>
        <v>1.3730254561838249</v>
      </c>
      <c r="J621" s="8">
        <f>(1.2*1.37+3.68*9.44+2.07*33.58)/$H621</f>
        <v>2.3855327776526245</v>
      </c>
      <c r="K621" s="12">
        <f>(523*1.37+435*9.44+336*33.58)/$H621</f>
        <v>362.82473530074338</v>
      </c>
      <c r="L621" s="8"/>
      <c r="M621" s="8">
        <f>(2.88*1.37+2.12*9.44+1.19*33.58)/$H621</f>
        <v>1.4399324172110834</v>
      </c>
    </row>
    <row r="622" spans="1:13" ht="17.25" customHeight="1" x14ac:dyDescent="0.2">
      <c r="A622" s="2" t="s">
        <v>1204</v>
      </c>
      <c r="B622" s="2" t="s">
        <v>1126</v>
      </c>
      <c r="C622" s="2" t="s">
        <v>132</v>
      </c>
      <c r="D622" s="2"/>
      <c r="E622" s="2" t="s">
        <v>26</v>
      </c>
      <c r="F622" s="2" t="s">
        <v>1137</v>
      </c>
      <c r="G622" s="2" t="s">
        <v>82</v>
      </c>
      <c r="H622" s="8">
        <v>13.536</v>
      </c>
      <c r="I622" s="8">
        <v>2.19</v>
      </c>
      <c r="J622" s="8">
        <v>5.18</v>
      </c>
      <c r="K622" s="10">
        <v>92.96</v>
      </c>
      <c r="L622" s="8">
        <v>0.09</v>
      </c>
      <c r="M622" s="8">
        <v>0.04</v>
      </c>
    </row>
    <row r="623" spans="1:13" ht="17.25" customHeight="1" x14ac:dyDescent="0.2">
      <c r="A623" s="2" t="s">
        <v>1205</v>
      </c>
      <c r="B623" s="2" t="s">
        <v>1126</v>
      </c>
      <c r="C623" s="2" t="s">
        <v>30</v>
      </c>
      <c r="D623" s="2" t="s">
        <v>1206</v>
      </c>
      <c r="E623" s="2" t="s">
        <v>26</v>
      </c>
      <c r="F623" s="2" t="s">
        <v>1207</v>
      </c>
      <c r="G623" s="2" t="s">
        <v>1159</v>
      </c>
      <c r="H623" s="8">
        <v>7.6</v>
      </c>
      <c r="I623" s="8">
        <v>0.88</v>
      </c>
      <c r="J623" s="8">
        <v>1.54</v>
      </c>
      <c r="K623" s="10">
        <v>79</v>
      </c>
      <c r="L623" s="8"/>
      <c r="M623" s="8"/>
    </row>
    <row r="624" spans="1:13" ht="17.25" customHeight="1" x14ac:dyDescent="0.2">
      <c r="A624" s="2" t="s">
        <v>1208</v>
      </c>
      <c r="B624" s="2" t="s">
        <v>1126</v>
      </c>
      <c r="C624" s="2" t="s">
        <v>132</v>
      </c>
      <c r="D624" s="2"/>
      <c r="E624" s="2" t="s">
        <v>26</v>
      </c>
      <c r="F624" s="2" t="s">
        <v>1209</v>
      </c>
      <c r="G624" s="2" t="s">
        <v>594</v>
      </c>
      <c r="H624" s="8">
        <f>0.332+2.088+2.025</f>
        <v>4.4450000000000003</v>
      </c>
      <c r="I624" s="8">
        <f>(0.98*0.332+0.89*2.088+0.71*2.025)/$H624</f>
        <v>0.81471991001124855</v>
      </c>
      <c r="J624" s="8">
        <f>(2.01*0.332+1.7*2.088+1.44*2.025)/$H624</f>
        <v>1.6047064116985377</v>
      </c>
      <c r="K624" s="10">
        <f>(92.76*0.332+95.26*2.088+88.98*2.025)/$H624</f>
        <v>92.21230596175478</v>
      </c>
      <c r="L624" s="8">
        <f>(0.24*0.332+0.27*2.088+0.26*2.025)/$H624</f>
        <v>0.26320359955005623</v>
      </c>
      <c r="M624" s="8"/>
    </row>
    <row r="625" spans="1:13" ht="17.25" customHeight="1" x14ac:dyDescent="0.2">
      <c r="A625" s="2" t="s">
        <v>1210</v>
      </c>
      <c r="B625" s="2" t="s">
        <v>1126</v>
      </c>
      <c r="C625" s="2" t="s">
        <v>132</v>
      </c>
      <c r="D625" s="2"/>
      <c r="E625" s="2" t="s">
        <v>26</v>
      </c>
      <c r="F625" s="2" t="s">
        <v>1146</v>
      </c>
      <c r="G625" s="2" t="s">
        <v>82</v>
      </c>
      <c r="H625" s="8">
        <f>335.03+194.94+32.23+248.38+40.79</f>
        <v>851.37</v>
      </c>
      <c r="I625" s="8">
        <f>(0.35*335.03+0.25*194.94+0.27*32.23+0.31*248.38+0.18*40.79)/$H625</f>
        <v>0.30425972256480732</v>
      </c>
      <c r="J625" s="8">
        <f>(0.85*335.03+0.62*194.94+0.67*32.23+1.05*248.38+0.38*40.79)/$H625</f>
        <v>0.82635234974218019</v>
      </c>
      <c r="K625" s="10">
        <f>(34.67*335.03+24.7*194.94+23.51*32.23+30.81*248.38+30.82*40.79)/$H625</f>
        <v>30.654088116799979</v>
      </c>
      <c r="L625" s="8"/>
      <c r="M625" s="8">
        <f>(0.71*335.03+0.47*194.94+0.25*32.23+0.27*248.38+0.17*40.79)/$H625</f>
        <v>0.48339441136051309</v>
      </c>
    </row>
    <row r="626" spans="1:13" ht="17.25" customHeight="1" x14ac:dyDescent="0.2">
      <c r="A626" s="2" t="s">
        <v>1211</v>
      </c>
      <c r="B626" s="2" t="s">
        <v>1126</v>
      </c>
      <c r="C626" s="2" t="s">
        <v>30</v>
      </c>
      <c r="D626" s="2" t="s">
        <v>900</v>
      </c>
      <c r="E626" s="2" t="s">
        <v>26</v>
      </c>
      <c r="F626" s="2" t="s">
        <v>54</v>
      </c>
      <c r="G626" s="2" t="s">
        <v>47</v>
      </c>
      <c r="H626" s="8">
        <f>260.3+22.1</f>
        <v>282.40000000000003</v>
      </c>
      <c r="I626" s="8">
        <f>(0.32*260.3+0.21*22.1)/$H626</f>
        <v>0.31139164305949008</v>
      </c>
      <c r="J626" s="8">
        <f>(0.72*260.3+0.49*22.1)/$H626</f>
        <v>0.70200070821529736</v>
      </c>
      <c r="K626" s="10">
        <f>(95.4*20.3+81.9*240+62.1*22.1)/$H626</f>
        <v>81.320927762039645</v>
      </c>
      <c r="L626" s="8"/>
      <c r="M626" s="8"/>
    </row>
    <row r="627" spans="1:13" ht="17.25" customHeight="1" x14ac:dyDescent="0.2">
      <c r="A627" s="2" t="s">
        <v>1212</v>
      </c>
      <c r="B627" s="2" t="s">
        <v>1126</v>
      </c>
      <c r="C627" s="2" t="s">
        <v>1213</v>
      </c>
      <c r="D627" s="2"/>
      <c r="E627" s="2" t="s">
        <v>26</v>
      </c>
      <c r="F627" s="2" t="s">
        <v>1194</v>
      </c>
      <c r="G627" s="2" t="s">
        <v>1214</v>
      </c>
      <c r="H627" s="8">
        <f>0.088+0.549+0.069</f>
        <v>0.70599999999999996</v>
      </c>
      <c r="I627" s="8">
        <f>(9.14*0.088+8.92*0.549+11.35*0.069)/$H627</f>
        <v>9.1849150141643072</v>
      </c>
      <c r="J627" s="8">
        <f>(11.99*0.088+10.36*0.549+11.34*0.069)/$H627</f>
        <v>10.658951841359775</v>
      </c>
      <c r="K627" s="12">
        <f>(1064*0.088+800*0.549+1011*0.069)/$H627</f>
        <v>853.52832861189813</v>
      </c>
      <c r="L627" s="8"/>
      <c r="M627" s="8"/>
    </row>
    <row r="628" spans="1:13" ht="17.25" customHeight="1" x14ac:dyDescent="0.2">
      <c r="A628" s="2" t="s">
        <v>1215</v>
      </c>
      <c r="B628" s="2" t="s">
        <v>1126</v>
      </c>
      <c r="C628" s="2" t="s">
        <v>14</v>
      </c>
      <c r="D628" s="2" t="s">
        <v>15</v>
      </c>
      <c r="E628" s="7" t="s">
        <v>16</v>
      </c>
      <c r="F628" s="2" t="s">
        <v>1168</v>
      </c>
      <c r="G628" s="2" t="s">
        <v>583</v>
      </c>
      <c r="H628" s="11">
        <v>0.89551199999999997</v>
      </c>
      <c r="I628" s="8">
        <v>2.1</v>
      </c>
      <c r="J628" s="8">
        <v>3.4</v>
      </c>
      <c r="K628" s="9">
        <v>191</v>
      </c>
      <c r="L628" s="8"/>
      <c r="M628" s="8">
        <v>0.8</v>
      </c>
    </row>
    <row r="629" spans="1:13" ht="17.25" customHeight="1" x14ac:dyDescent="0.2">
      <c r="A629" s="2" t="s">
        <v>1216</v>
      </c>
      <c r="B629" s="2" t="s">
        <v>1126</v>
      </c>
      <c r="C629" s="2" t="s">
        <v>24</v>
      </c>
      <c r="D629" s="2"/>
      <c r="E629" s="2" t="s">
        <v>26</v>
      </c>
      <c r="F629" s="2" t="s">
        <v>1217</v>
      </c>
      <c r="G629" s="2" t="s">
        <v>1218</v>
      </c>
      <c r="H629" s="8">
        <v>25.2</v>
      </c>
      <c r="I629" s="8">
        <v>2.1</v>
      </c>
      <c r="J629" s="8">
        <v>8.3000000000000007</v>
      </c>
      <c r="K629" s="10"/>
      <c r="L629" s="8">
        <v>0.5</v>
      </c>
      <c r="M629" s="8">
        <v>1.3</v>
      </c>
    </row>
    <row r="630" spans="1:13" ht="17.25" customHeight="1" x14ac:dyDescent="0.2">
      <c r="A630" s="2" t="s">
        <v>1219</v>
      </c>
      <c r="B630" s="2" t="s">
        <v>1126</v>
      </c>
      <c r="C630" s="2" t="s">
        <v>30</v>
      </c>
      <c r="D630" s="2" t="s">
        <v>53</v>
      </c>
      <c r="E630" s="2" t="s">
        <v>26</v>
      </c>
      <c r="F630" s="2" t="s">
        <v>1220</v>
      </c>
      <c r="G630" s="2" t="s">
        <v>1189</v>
      </c>
      <c r="H630" s="8">
        <f>0.284+0.864+0.512</f>
        <v>1.66</v>
      </c>
      <c r="I630" s="8">
        <f>(1.1*0.284+1.01*0.864+0.61*0.512)/$H630</f>
        <v>0.90202409638554204</v>
      </c>
      <c r="J630" s="8">
        <f>(3.34*0.284+2.16*0.864+1.67*0.512)/$H630</f>
        <v>2.2107469879518074</v>
      </c>
      <c r="K630" s="10">
        <f>(192.6*0.284+135.5*0.864+72.2*0.512)/$H630</f>
        <v>125.74506024096385</v>
      </c>
      <c r="L630" s="8"/>
      <c r="M630" s="8">
        <f>(0.912*0.284+0.809*0.864+0.772*0.512)/$H630</f>
        <v>0.81520963855421691</v>
      </c>
    </row>
    <row r="631" spans="1:13" ht="17.25" customHeight="1" x14ac:dyDescent="0.2">
      <c r="A631" s="2" t="s">
        <v>1221</v>
      </c>
      <c r="B631" s="2" t="s">
        <v>1126</v>
      </c>
      <c r="C631" s="2" t="s">
        <v>14</v>
      </c>
      <c r="D631" s="2" t="s">
        <v>15</v>
      </c>
      <c r="E631" s="2" t="s">
        <v>26</v>
      </c>
      <c r="F631" s="2" t="s">
        <v>1137</v>
      </c>
      <c r="G631" s="2" t="s">
        <v>82</v>
      </c>
      <c r="H631" s="8">
        <v>13.154999999999999</v>
      </c>
      <c r="I631" s="8">
        <v>1.25</v>
      </c>
      <c r="J631" s="8">
        <v>2.06</v>
      </c>
      <c r="K631" s="10">
        <v>121.57</v>
      </c>
      <c r="L631" s="8">
        <v>0.36</v>
      </c>
      <c r="M631" s="8"/>
    </row>
    <row r="632" spans="1:13" ht="17.25" customHeight="1" x14ac:dyDescent="0.2">
      <c r="A632" s="2" t="s">
        <v>1222</v>
      </c>
      <c r="B632" s="2" t="s">
        <v>1126</v>
      </c>
      <c r="C632" s="2" t="s">
        <v>132</v>
      </c>
      <c r="D632" s="2"/>
      <c r="E632" s="2" t="s">
        <v>26</v>
      </c>
      <c r="F632" s="2" t="s">
        <v>1223</v>
      </c>
      <c r="G632" s="2" t="s">
        <v>1224</v>
      </c>
      <c r="H632" s="8">
        <f>121+91.2</f>
        <v>212.2</v>
      </c>
      <c r="I632" s="8">
        <f>(0.06*121+0.07*91.2)/$H632</f>
        <v>6.4297832233741761E-2</v>
      </c>
      <c r="J632" s="8">
        <f>(0.49*121+0.48*91.2)/$H632</f>
        <v>0.4857021677662583</v>
      </c>
      <c r="K632" s="10">
        <f>(12.3*121+12.6*91.2)/$H632</f>
        <v>12.428934967012253</v>
      </c>
      <c r="L632" s="8"/>
      <c r="M632" s="10">
        <f>(0.4*121+0.4*91.2)/$H632</f>
        <v>0.40000000000000008</v>
      </c>
    </row>
    <row r="633" spans="1:13" ht="17.25" customHeight="1" x14ac:dyDescent="0.2">
      <c r="A633" s="2" t="s">
        <v>1225</v>
      </c>
      <c r="B633" s="2" t="s">
        <v>1126</v>
      </c>
      <c r="C633" s="2" t="s">
        <v>30</v>
      </c>
      <c r="D633" s="2"/>
      <c r="E633" s="2" t="s">
        <v>26</v>
      </c>
      <c r="F633" s="2" t="s">
        <v>1226</v>
      </c>
      <c r="G633" s="2" t="s">
        <v>82</v>
      </c>
      <c r="H633" s="11">
        <f>1.393716+1.354261+1.257731</f>
        <v>4.0057079999999994</v>
      </c>
      <c r="I633" s="8">
        <f>(3.1*1.393716+2.73*1.354261+2.26*1.257731)/$H633</f>
        <v>2.7111622190134685</v>
      </c>
      <c r="J633" s="8">
        <f>(7.12*1.393716+6.14*1.354261+6.18*1.257731)/$H633</f>
        <v>6.4935332380692765</v>
      </c>
      <c r="K633" s="12">
        <f>(69*1.393716+82*1.354261+84*1.257731)/$H633</f>
        <v>78.10484688349726</v>
      </c>
      <c r="L633" s="8">
        <f>(0.39*1.393716+0.31*1.354261+0.19*1.257731)/$H633</f>
        <v>0.3001564367647368</v>
      </c>
      <c r="M633" s="8">
        <f>(0.02*1.393716+0.06*1.354261+0.05*1.257731)/$H633</f>
        <v>4.2942853048699513E-2</v>
      </c>
    </row>
    <row r="634" spans="1:13" ht="17.25" customHeight="1" x14ac:dyDescent="0.2">
      <c r="A634" s="2" t="s">
        <v>1227</v>
      </c>
      <c r="B634" s="2" t="s">
        <v>1126</v>
      </c>
      <c r="C634" s="2" t="s">
        <v>132</v>
      </c>
      <c r="D634" s="2"/>
      <c r="E634" s="2" t="s">
        <v>26</v>
      </c>
      <c r="F634" s="2" t="s">
        <v>1220</v>
      </c>
      <c r="G634" s="2" t="s">
        <v>1189</v>
      </c>
      <c r="H634" s="8">
        <f>4.314+1.546+3.084</f>
        <v>8.9440000000000008</v>
      </c>
      <c r="I634" s="8">
        <f>(2.56*4.314+2.29*1.546+2.17*3.084)/$H634</f>
        <v>2.3788528622540248</v>
      </c>
      <c r="J634" s="8">
        <f>(4.51*4.314+3.96*1.546+3.35*3.084)/$H634</f>
        <v>4.0149485688729873</v>
      </c>
      <c r="K634" s="10">
        <f>(64.3*4.314+53.58*1.546+41.75*3.084)/$H634</f>
        <v>54.671498211091226</v>
      </c>
      <c r="L634" s="8">
        <f>(0.25*4.314+0.2*1.546+0.16*3.084)/$H634</f>
        <v>0.21032423971377462</v>
      </c>
      <c r="M634" s="8"/>
    </row>
    <row r="635" spans="1:13" ht="17.25" customHeight="1" x14ac:dyDescent="0.2">
      <c r="A635" s="2" t="s">
        <v>1228</v>
      </c>
      <c r="B635" s="2" t="s">
        <v>1126</v>
      </c>
      <c r="C635" s="2" t="s">
        <v>30</v>
      </c>
      <c r="D635" s="2" t="s">
        <v>49</v>
      </c>
      <c r="E635" s="2" t="s">
        <v>26</v>
      </c>
      <c r="F635" s="2" t="s">
        <v>1229</v>
      </c>
      <c r="G635" s="2" t="s">
        <v>594</v>
      </c>
      <c r="H635" s="8">
        <f>8+24.5</f>
        <v>32.5</v>
      </c>
      <c r="I635" s="8">
        <f>(0.38*8+0.38*24.5)/$H635</f>
        <v>0.38000000000000006</v>
      </c>
      <c r="J635" s="8">
        <f>(0.85*8+0.76*24.5)/$H635</f>
        <v>0.7821538461538462</v>
      </c>
      <c r="K635" s="12">
        <f>(119*8+110*24.5)/$H635</f>
        <v>112.21538461538462</v>
      </c>
      <c r="L635" s="8"/>
      <c r="M635" s="8"/>
    </row>
    <row r="636" spans="1:13" ht="17.25" customHeight="1" x14ac:dyDescent="0.2">
      <c r="A636" s="2" t="s">
        <v>1230</v>
      </c>
      <c r="B636" s="2" t="s">
        <v>1126</v>
      </c>
      <c r="C636" s="2" t="s">
        <v>30</v>
      </c>
      <c r="D636" s="2" t="s">
        <v>49</v>
      </c>
      <c r="E636" s="2" t="s">
        <v>26</v>
      </c>
      <c r="F636" s="2" t="s">
        <v>1153</v>
      </c>
      <c r="G636" s="2" t="s">
        <v>604</v>
      </c>
      <c r="H636" s="8">
        <f>1.06+6.999+2.079+2.192+1.154+1.574</f>
        <v>15.058</v>
      </c>
      <c r="I636" s="8">
        <f>(0.06*1.06+0.03*6.999+0.06*2.079+0.01*2.192+0.02*1.154+0.02*1.574)/$H636</f>
        <v>3.1530747775268958E-2</v>
      </c>
      <c r="J636" s="8">
        <f>(0.52*1.06+0.15*6.999+0.41*2.079+0.04*2.192+0.04*1.154+0.05*1.574)/$H636</f>
        <v>0.17704741665559834</v>
      </c>
      <c r="K636" s="10">
        <f>(10.15*1.06+9.74*6.999+10.1*2.079+11.91*2.192+11.24*1.154+5.15*1.574)/$H636</f>
        <v>9.769620135476158</v>
      </c>
      <c r="L636" s="8">
        <f>(0.21*1.06+0.2*6.999+0.24*2.079+0.26*2.192+0.14*1.154+0.08*1.574)/$H636</f>
        <v>0.19781909948200291</v>
      </c>
      <c r="M636" s="8">
        <f>(4.52*1.06+4.54*6.999+4.7*2.079+5.64*2.192+3.55*1.154+3.5*1.574)/$H636</f>
        <v>4.5362292469119403</v>
      </c>
    </row>
    <row r="637" spans="1:13" ht="17.25" customHeight="1" x14ac:dyDescent="0.2">
      <c r="A637" s="2" t="s">
        <v>1231</v>
      </c>
      <c r="B637" s="2" t="s">
        <v>1126</v>
      </c>
      <c r="C637" s="2" t="s">
        <v>30</v>
      </c>
      <c r="D637" s="2" t="s">
        <v>49</v>
      </c>
      <c r="E637" s="2" t="s">
        <v>26</v>
      </c>
      <c r="F637" s="2" t="s">
        <v>54</v>
      </c>
      <c r="G637" s="2" t="s">
        <v>47</v>
      </c>
      <c r="H637" s="8">
        <v>2.2999999999999998</v>
      </c>
      <c r="I637" s="8">
        <v>0.32</v>
      </c>
      <c r="J637" s="8">
        <v>0.66</v>
      </c>
      <c r="K637" s="8">
        <v>191.8</v>
      </c>
      <c r="L637" s="8"/>
      <c r="M637" s="8"/>
    </row>
    <row r="638" spans="1:13" ht="17.25" customHeight="1" x14ac:dyDescent="0.2">
      <c r="A638" s="2" t="s">
        <v>1232</v>
      </c>
      <c r="B638" s="2" t="s">
        <v>1126</v>
      </c>
      <c r="C638" s="2" t="s">
        <v>132</v>
      </c>
      <c r="D638" s="2"/>
      <c r="E638" s="2" t="s">
        <v>26</v>
      </c>
      <c r="F638" s="2" t="s">
        <v>1168</v>
      </c>
      <c r="G638" s="2" t="s">
        <v>583</v>
      </c>
      <c r="H638" s="11">
        <f>0.741387+0.993661</f>
        <v>1.7350479999999999</v>
      </c>
      <c r="I638" s="8">
        <f>(0.7*0.741387+0.7*0.993661)/$H638</f>
        <v>0.70000000000000007</v>
      </c>
      <c r="J638" s="8">
        <f>(1.5*0.741387+1.6*0.993661)/$H638</f>
        <v>1.5572699429641144</v>
      </c>
      <c r="K638" s="12">
        <f>(60*0.741387+54*0.993661)/$H638</f>
        <v>56.563803422153171</v>
      </c>
      <c r="L638" s="8"/>
      <c r="M638" s="8"/>
    </row>
    <row r="639" spans="1:13" ht="17.25" customHeight="1" x14ac:dyDescent="0.2">
      <c r="A639" s="2" t="s">
        <v>1233</v>
      </c>
      <c r="B639" s="2" t="s">
        <v>1126</v>
      </c>
      <c r="C639" s="2" t="s">
        <v>24</v>
      </c>
      <c r="D639" s="2"/>
      <c r="E639" s="2" t="s">
        <v>26</v>
      </c>
      <c r="F639" s="2" t="s">
        <v>1234</v>
      </c>
      <c r="G639" s="2" t="s">
        <v>1235</v>
      </c>
      <c r="H639" s="8">
        <f>19.26+2.28</f>
        <v>21.540000000000003</v>
      </c>
      <c r="I639" s="8"/>
      <c r="J639" s="8">
        <f>(1.68*19.26+0.97*2.28)/$H639</f>
        <v>1.6048467966573812</v>
      </c>
      <c r="K639" s="10">
        <f>(26.7*19.26+17.4*2.28)/$H639</f>
        <v>25.715598885793874</v>
      </c>
      <c r="L639" s="8"/>
      <c r="M639" s="8"/>
    </row>
    <row r="640" spans="1:13" ht="17.25" customHeight="1" x14ac:dyDescent="0.2">
      <c r="A640" s="2" t="s">
        <v>1236</v>
      </c>
      <c r="B640" s="2" t="s">
        <v>1126</v>
      </c>
      <c r="C640" s="2" t="s">
        <v>132</v>
      </c>
      <c r="D640" s="2"/>
      <c r="E640" s="2" t="s">
        <v>26</v>
      </c>
      <c r="F640" s="2" t="s">
        <v>1209</v>
      </c>
      <c r="G640" s="2" t="s">
        <v>594</v>
      </c>
      <c r="H640" s="8">
        <f>5.124+14.788+3.331</f>
        <v>23.242999999999999</v>
      </c>
      <c r="I640" s="8">
        <f>(0.93*5.124+0.56*14.788+0.58*3.331)/$H640</f>
        <v>0.64443402314675391</v>
      </c>
      <c r="J640" s="8">
        <f>(2.1*5.124+1.37*14.788+0.18*3.331)/$H640</f>
        <v>1.3603897947769221</v>
      </c>
      <c r="K640" s="10">
        <f>(72.9*5.124+57.6*14.788+56.1*3.331)/$H640</f>
        <v>60.757970141548007</v>
      </c>
      <c r="L640" s="8">
        <f>(0.06*5.124+0.1*14.788+0.08*3.331)/$H640</f>
        <v>8.831562190767113E-2</v>
      </c>
      <c r="M640" s="8">
        <f>(0.14*5.124+0.1*14.788+0.16*3.331)/$H640</f>
        <v>0.11741685668803511</v>
      </c>
    </row>
    <row r="641" spans="1:13" ht="17.25" customHeight="1" x14ac:dyDescent="0.2">
      <c r="A641" s="2" t="s">
        <v>1237</v>
      </c>
      <c r="B641" s="2" t="s">
        <v>1126</v>
      </c>
      <c r="C641" s="2" t="s">
        <v>30</v>
      </c>
      <c r="D641" s="2" t="s">
        <v>1206</v>
      </c>
      <c r="E641" s="2" t="s">
        <v>26</v>
      </c>
      <c r="F641" s="2" t="s">
        <v>1238</v>
      </c>
      <c r="G641" s="2" t="s">
        <v>583</v>
      </c>
      <c r="H641" s="11">
        <f>(1.994+3.549)*0.9072</f>
        <v>5.0286096000000002</v>
      </c>
      <c r="I641" s="10">
        <f>(0.8*1.994+0.6*3.549)/(1.994+3.549)</f>
        <v>0.67194659931445067</v>
      </c>
      <c r="J641" s="10">
        <f>(1*1.994+0.9*3.549)/(1.994+3.549)</f>
        <v>0.93597329965722542</v>
      </c>
      <c r="K641" s="12">
        <f>((6.6*1.994+3.8*3.549)/(1.994+3.549))*31.1/0.9072</f>
        <v>164.79888595845659</v>
      </c>
      <c r="L641" s="8"/>
      <c r="M641" s="10">
        <f>((0.06*1.994+0.03*3.549)/(1.994+3.549))*31.1/0.9072</f>
        <v>1.3984026518980512</v>
      </c>
    </row>
    <row r="642" spans="1:13" ht="17.25" customHeight="1" x14ac:dyDescent="0.2">
      <c r="A642" s="2" t="s">
        <v>1239</v>
      </c>
      <c r="B642" s="2" t="s">
        <v>1126</v>
      </c>
      <c r="C642" s="2" t="s">
        <v>14</v>
      </c>
      <c r="D642" s="2" t="s">
        <v>15</v>
      </c>
      <c r="E642" s="2" t="s">
        <v>26</v>
      </c>
      <c r="F642" s="2" t="s">
        <v>1240</v>
      </c>
      <c r="G642" s="2" t="s">
        <v>1241</v>
      </c>
      <c r="H642" s="8">
        <v>94.5</v>
      </c>
      <c r="I642" s="8"/>
      <c r="J642" s="8">
        <v>1.27</v>
      </c>
      <c r="K642" s="8">
        <v>58.7</v>
      </c>
      <c r="L642" s="8"/>
      <c r="M642" s="8"/>
    </row>
    <row r="643" spans="1:13" ht="17.25" customHeight="1" x14ac:dyDescent="0.2">
      <c r="A643" s="2" t="s">
        <v>1242</v>
      </c>
      <c r="B643" s="2" t="s">
        <v>1126</v>
      </c>
      <c r="C643" s="2" t="s">
        <v>1243</v>
      </c>
      <c r="D643" s="2" t="s">
        <v>1244</v>
      </c>
      <c r="E643" s="2" t="s">
        <v>26</v>
      </c>
      <c r="F643" s="2" t="s">
        <v>1144</v>
      </c>
      <c r="G643" s="2" t="s">
        <v>1129</v>
      </c>
      <c r="H643" s="8">
        <v>48.765000000000001</v>
      </c>
      <c r="I643" s="8">
        <v>0.95699999999999996</v>
      </c>
      <c r="J643" s="8">
        <v>2.8820000000000001</v>
      </c>
      <c r="K643" s="9"/>
      <c r="L643" s="8">
        <v>0.48699999999999999</v>
      </c>
      <c r="M643" s="8"/>
    </row>
    <row r="644" spans="1:13" ht="17.25" customHeight="1" x14ac:dyDescent="0.2">
      <c r="A644" s="2" t="s">
        <v>1245</v>
      </c>
      <c r="B644" s="2" t="s">
        <v>1126</v>
      </c>
      <c r="C644" s="2" t="s">
        <v>1246</v>
      </c>
      <c r="D644" s="2"/>
      <c r="E644" s="2" t="s">
        <v>26</v>
      </c>
      <c r="F644" s="2" t="s">
        <v>1247</v>
      </c>
      <c r="G644" s="2" t="s">
        <v>110</v>
      </c>
      <c r="H644" s="8">
        <f>60.956+24.637+1.567+3.48</f>
        <v>90.64</v>
      </c>
      <c r="I644" s="8"/>
      <c r="J644" s="8">
        <f>(0.51*60.956+2.97*24.637+0.27*1.567+5.01*3.48)/$H644</f>
        <v>1.3472786849073257</v>
      </c>
      <c r="K644" s="9"/>
      <c r="L644" s="8">
        <f>(0.34*60.956+0.28*24.637+0.35*1.567+0.36*3.48)/$H644</f>
        <v>0.32463206090026481</v>
      </c>
      <c r="M644" s="8"/>
    </row>
    <row r="645" spans="1:13" ht="17.25" customHeight="1" x14ac:dyDescent="0.2">
      <c r="A645" s="2" t="s">
        <v>1248</v>
      </c>
      <c r="B645" s="2" t="s">
        <v>1126</v>
      </c>
      <c r="C645" s="2" t="s">
        <v>24</v>
      </c>
      <c r="D645" s="2"/>
      <c r="E645" s="2" t="s">
        <v>26</v>
      </c>
      <c r="F645" s="2" t="s">
        <v>1137</v>
      </c>
      <c r="G645" s="2" t="s">
        <v>82</v>
      </c>
      <c r="H645" s="8">
        <v>10.872999999999999</v>
      </c>
      <c r="I645" s="8">
        <v>1.36</v>
      </c>
      <c r="J645" s="8">
        <v>5.38</v>
      </c>
      <c r="K645" s="10">
        <v>221.21</v>
      </c>
      <c r="L645" s="8">
        <v>0.31</v>
      </c>
      <c r="M645" s="8">
        <v>1.82</v>
      </c>
    </row>
    <row r="646" spans="1:13" ht="17.25" customHeight="1" x14ac:dyDescent="0.2">
      <c r="A646" s="2" t="s">
        <v>1249</v>
      </c>
      <c r="B646" s="2" t="s">
        <v>1126</v>
      </c>
      <c r="C646" s="2" t="s">
        <v>30</v>
      </c>
      <c r="D646" s="2" t="s">
        <v>49</v>
      </c>
      <c r="E646" s="2" t="s">
        <v>26</v>
      </c>
      <c r="F646" s="2" t="s">
        <v>1250</v>
      </c>
      <c r="G646" s="2" t="s">
        <v>47</v>
      </c>
      <c r="H646" s="11">
        <f>0.0604+0.0954+0.273</f>
        <v>0.42880000000000001</v>
      </c>
      <c r="I646" s="8">
        <f>(6.73*0.0604+6.33*0.0954+5.7*0.273)/$H646</f>
        <v>5.9852472014925375</v>
      </c>
      <c r="J646" s="10">
        <f>(5.2*0.0604+3.7*0.0954+3.9*0.273)/$H646</f>
        <v>4.0386194029850744</v>
      </c>
      <c r="K646" s="12">
        <f>(801*0.0604+809*0.0954+837*0.273)/$H646</f>
        <v>825.69962686567158</v>
      </c>
      <c r="L646" s="8"/>
      <c r="M646" s="8"/>
    </row>
    <row r="647" spans="1:13" ht="17.25" customHeight="1" x14ac:dyDescent="0.2">
      <c r="A647" s="2" t="s">
        <v>1251</v>
      </c>
      <c r="B647" s="2" t="s">
        <v>1126</v>
      </c>
      <c r="C647" s="2" t="s">
        <v>132</v>
      </c>
      <c r="D647" s="2"/>
      <c r="E647" s="2" t="s">
        <v>26</v>
      </c>
      <c r="F647" s="2" t="s">
        <v>1137</v>
      </c>
      <c r="G647" s="2" t="s">
        <v>82</v>
      </c>
      <c r="H647" s="8">
        <v>29.937999999999999</v>
      </c>
      <c r="I647" s="8">
        <v>0.48</v>
      </c>
      <c r="J647" s="8">
        <v>4.21</v>
      </c>
      <c r="K647" s="8">
        <v>26.48</v>
      </c>
      <c r="L647" s="8">
        <v>0.17</v>
      </c>
      <c r="M647" s="8">
        <v>0.25</v>
      </c>
    </row>
    <row r="648" spans="1:13" ht="17.25" customHeight="1" x14ac:dyDescent="0.2">
      <c r="A648" s="2" t="s">
        <v>1252</v>
      </c>
      <c r="B648" s="2" t="s">
        <v>1126</v>
      </c>
      <c r="C648" s="2" t="s">
        <v>132</v>
      </c>
      <c r="D648" s="2"/>
      <c r="E648" s="2" t="s">
        <v>26</v>
      </c>
      <c r="F648" s="2" t="s">
        <v>1253</v>
      </c>
      <c r="G648" s="2" t="s">
        <v>1129</v>
      </c>
      <c r="H648" s="8">
        <f>0.679+1.279+0.091+0.089</f>
        <v>2.1379999999999999</v>
      </c>
      <c r="I648" s="8">
        <f>(1.16*0.679+0.95*1.279+2.95*0.091+3.04*0.089)/$H648</f>
        <v>1.188821328344247</v>
      </c>
      <c r="J648" s="8">
        <f>(1.03*0.679+1.18*1.279+2.55*0.091+2.56*0.089)/$H648</f>
        <v>1.2481197380729656</v>
      </c>
      <c r="K648" s="12">
        <f>(182*0.679+204*1.279+147*0.091+200*0.089)/$H648</f>
        <v>194.42048643592145</v>
      </c>
      <c r="L648" s="8"/>
      <c r="M648" s="8">
        <f>(3.69*0.679+3.48*1.279+3.14*0.091+2.25*0.089)/$H648</f>
        <v>3.4810196445275956</v>
      </c>
    </row>
    <row r="649" spans="1:13" ht="17.25" customHeight="1" x14ac:dyDescent="0.2">
      <c r="A649" s="2" t="s">
        <v>1254</v>
      </c>
      <c r="B649" s="2" t="s">
        <v>1255</v>
      </c>
      <c r="C649" s="2" t="s">
        <v>14</v>
      </c>
      <c r="D649" s="2" t="s">
        <v>38</v>
      </c>
      <c r="E649" s="2" t="s">
        <v>26</v>
      </c>
      <c r="F649" s="2" t="s">
        <v>1256</v>
      </c>
      <c r="G649" s="2" t="s">
        <v>82</v>
      </c>
      <c r="H649" s="8">
        <v>2.5099999999999998</v>
      </c>
      <c r="I649" s="8">
        <v>3.17</v>
      </c>
      <c r="J649" s="8">
        <v>3.84</v>
      </c>
      <c r="K649" s="10">
        <f>(16.51*1.63)/H649</f>
        <v>10.72163346613546</v>
      </c>
      <c r="L649" s="8">
        <v>0.31</v>
      </c>
      <c r="M649" s="8"/>
    </row>
    <row r="650" spans="1:13" ht="17.25" customHeight="1" x14ac:dyDescent="0.2">
      <c r="A650" s="2" t="s">
        <v>1257</v>
      </c>
      <c r="B650" s="2" t="s">
        <v>1255</v>
      </c>
      <c r="C650" s="2" t="s">
        <v>14</v>
      </c>
      <c r="D650" s="2" t="s">
        <v>38</v>
      </c>
      <c r="E650" s="2" t="s">
        <v>26</v>
      </c>
      <c r="F650" s="2" t="s">
        <v>1256</v>
      </c>
      <c r="G650" s="2" t="s">
        <v>82</v>
      </c>
      <c r="H650" s="8">
        <v>1.9</v>
      </c>
      <c r="I650" s="8">
        <v>1.51</v>
      </c>
      <c r="J650" s="8">
        <v>2.98</v>
      </c>
      <c r="K650" s="9"/>
      <c r="L650" s="8">
        <v>0.26</v>
      </c>
      <c r="M650" s="8"/>
    </row>
    <row r="651" spans="1:13" ht="17.25" customHeight="1" x14ac:dyDescent="0.2">
      <c r="A651" s="2" t="s">
        <v>1258</v>
      </c>
      <c r="B651" s="2" t="s">
        <v>1255</v>
      </c>
      <c r="C651" s="2" t="s">
        <v>14</v>
      </c>
      <c r="D651" s="2" t="s">
        <v>38</v>
      </c>
      <c r="E651" s="2" t="s">
        <v>26</v>
      </c>
      <c r="F651" s="2" t="s">
        <v>1256</v>
      </c>
      <c r="G651" s="2" t="s">
        <v>82</v>
      </c>
      <c r="H651" s="8">
        <v>4.74</v>
      </c>
      <c r="I651" s="8">
        <v>0.11</v>
      </c>
      <c r="J651" s="8">
        <v>4.0599999999999996</v>
      </c>
      <c r="K651" s="9"/>
      <c r="L651" s="8">
        <v>0.3</v>
      </c>
      <c r="M651" s="8"/>
    </row>
    <row r="652" spans="1:13" ht="17.25" customHeight="1" x14ac:dyDescent="0.2">
      <c r="A652" s="2" t="s">
        <v>1259</v>
      </c>
      <c r="B652" s="2" t="s">
        <v>1260</v>
      </c>
      <c r="C652" s="2" t="s">
        <v>30</v>
      </c>
      <c r="D652" s="2" t="s">
        <v>1261</v>
      </c>
      <c r="E652" s="7" t="s">
        <v>16</v>
      </c>
      <c r="F652" s="2" t="s">
        <v>1262</v>
      </c>
      <c r="G652" s="2" t="s">
        <v>399</v>
      </c>
      <c r="H652" s="11">
        <v>3.8389700000000002</v>
      </c>
      <c r="I652" s="8">
        <v>0.86</v>
      </c>
      <c r="J652" s="8">
        <v>3.9</v>
      </c>
      <c r="K652" s="9">
        <v>203</v>
      </c>
      <c r="L652" s="8"/>
      <c r="M652" s="8">
        <v>3.6</v>
      </c>
    </row>
    <row r="653" spans="1:13" ht="17.25" customHeight="1" x14ac:dyDescent="0.2">
      <c r="A653" s="2" t="s">
        <v>1263</v>
      </c>
      <c r="B653" s="2" t="s">
        <v>1260</v>
      </c>
      <c r="C653" s="2" t="s">
        <v>14</v>
      </c>
      <c r="D653" s="2" t="s">
        <v>15</v>
      </c>
      <c r="E653" s="7" t="s">
        <v>16</v>
      </c>
      <c r="F653" s="2" t="s">
        <v>1264</v>
      </c>
      <c r="G653" s="2" t="s">
        <v>1265</v>
      </c>
      <c r="H653" s="9">
        <v>19</v>
      </c>
      <c r="I653" s="9">
        <v>2</v>
      </c>
      <c r="J653" s="9">
        <v>7</v>
      </c>
      <c r="K653" s="9"/>
      <c r="L653" s="8">
        <v>0.5</v>
      </c>
      <c r="M653" s="8"/>
    </row>
    <row r="654" spans="1:13" ht="17.25" customHeight="1" x14ac:dyDescent="0.2">
      <c r="A654" s="2" t="s">
        <v>1266</v>
      </c>
      <c r="B654" s="2" t="s">
        <v>1260</v>
      </c>
      <c r="C654" s="2" t="s">
        <v>132</v>
      </c>
      <c r="D654" s="2"/>
      <c r="E654" s="2" t="s">
        <v>26</v>
      </c>
      <c r="F654" s="2" t="s">
        <v>1267</v>
      </c>
      <c r="G654" s="2" t="s">
        <v>1268</v>
      </c>
      <c r="H654" s="8">
        <f>5.05+4.933+5.898</f>
        <v>15.881</v>
      </c>
      <c r="I654" s="8">
        <f>(6.79*5.05+7.44*4.933+6.98*5.898)/$H654</f>
        <v>7.0624683584157157</v>
      </c>
      <c r="J654" s="8">
        <f>(0.97*5.05+1.27*4.933+1.66*5.898)/$H654</f>
        <v>1.3194439896731942</v>
      </c>
      <c r="K654" s="10">
        <f>(121.8*5.05+133*4.933+131.1*5.898)/$H654</f>
        <v>128.73287576349094</v>
      </c>
      <c r="L654" s="8"/>
      <c r="M654" s="8"/>
    </row>
    <row r="655" spans="1:13" ht="17.25" customHeight="1" x14ac:dyDescent="0.2">
      <c r="A655" s="2" t="s">
        <v>1269</v>
      </c>
      <c r="B655" s="2" t="s">
        <v>1270</v>
      </c>
      <c r="C655" s="2" t="s">
        <v>14</v>
      </c>
      <c r="D655" s="2" t="s">
        <v>15</v>
      </c>
      <c r="E655" s="2" t="s">
        <v>26</v>
      </c>
      <c r="F655" s="2" t="s">
        <v>1271</v>
      </c>
      <c r="G655" s="2" t="s">
        <v>399</v>
      </c>
      <c r="H655" s="11">
        <v>1.3395999999999999</v>
      </c>
      <c r="I655" s="8">
        <v>3.69</v>
      </c>
      <c r="J655" s="8">
        <v>14.74</v>
      </c>
      <c r="K655" s="8">
        <v>8.6999999999999993</v>
      </c>
      <c r="L655" s="8"/>
      <c r="M655" s="8"/>
    </row>
    <row r="656" spans="1:13" ht="17.25" customHeight="1" x14ac:dyDescent="0.2">
      <c r="A656" s="2" t="s">
        <v>1272</v>
      </c>
      <c r="B656" s="2" t="s">
        <v>1270</v>
      </c>
      <c r="C656" s="2" t="s">
        <v>14</v>
      </c>
      <c r="D656" s="2" t="s">
        <v>38</v>
      </c>
      <c r="E656" s="7" t="s">
        <v>16</v>
      </c>
      <c r="F656" s="2" t="s">
        <v>1273</v>
      </c>
      <c r="G656" s="2" t="s">
        <v>841</v>
      </c>
      <c r="H656" s="8">
        <v>17.5</v>
      </c>
      <c r="I656" s="8">
        <v>2.2999999999999998</v>
      </c>
      <c r="J656" s="8">
        <v>8.6</v>
      </c>
      <c r="K656" s="9"/>
      <c r="L656" s="8"/>
      <c r="M656" s="8"/>
    </row>
    <row r="657" spans="1:13" ht="17.25" customHeight="1" x14ac:dyDescent="0.2">
      <c r="A657" s="2" t="s">
        <v>1274</v>
      </c>
      <c r="B657" s="2" t="s">
        <v>1270</v>
      </c>
      <c r="C657" s="2" t="s">
        <v>14</v>
      </c>
      <c r="D657" s="2" t="s">
        <v>38</v>
      </c>
      <c r="E657" s="2" t="s">
        <v>26</v>
      </c>
      <c r="F657" s="2" t="s">
        <v>1275</v>
      </c>
      <c r="G657" s="2" t="s">
        <v>82</v>
      </c>
      <c r="H657" s="8">
        <v>0.91700000000000004</v>
      </c>
      <c r="I657" s="8">
        <v>2.4</v>
      </c>
      <c r="J657" s="8">
        <v>5.7</v>
      </c>
      <c r="K657" s="8">
        <v>44.8</v>
      </c>
      <c r="L657" s="8"/>
      <c r="M657" s="8"/>
    </row>
    <row r="658" spans="1:13" ht="17.25" customHeight="1" x14ac:dyDescent="0.2">
      <c r="A658" s="2" t="s">
        <v>1276</v>
      </c>
      <c r="B658" s="2" t="s">
        <v>1270</v>
      </c>
      <c r="C658" s="15" t="s">
        <v>1277</v>
      </c>
      <c r="D658" s="2"/>
      <c r="E658" s="15" t="s">
        <v>171</v>
      </c>
      <c r="F658" s="2" t="s">
        <v>1275</v>
      </c>
      <c r="G658" s="2" t="s">
        <v>82</v>
      </c>
      <c r="H658" s="8">
        <v>0.61</v>
      </c>
      <c r="I658" s="8">
        <v>0.3</v>
      </c>
      <c r="J658" s="8">
        <v>2.1</v>
      </c>
      <c r="K658" s="8">
        <v>7.6</v>
      </c>
      <c r="L658" s="8"/>
      <c r="M658" s="8"/>
    </row>
    <row r="659" spans="1:13" ht="17.25" customHeight="1" x14ac:dyDescent="0.2">
      <c r="A659" s="2" t="s">
        <v>1278</v>
      </c>
      <c r="B659" s="2" t="s">
        <v>1270</v>
      </c>
      <c r="C659" s="2" t="s">
        <v>14</v>
      </c>
      <c r="D659" s="2" t="s">
        <v>38</v>
      </c>
      <c r="E659" s="2" t="s">
        <v>26</v>
      </c>
      <c r="F659" s="2" t="s">
        <v>39</v>
      </c>
      <c r="G659" s="2" t="s">
        <v>40</v>
      </c>
      <c r="H659" s="8">
        <f>2.62+7.5+4.5</f>
        <v>14.620000000000001</v>
      </c>
      <c r="I659" s="8">
        <f>(2.26*2.62+1.8*7.5+1*4.5)/$H659</f>
        <v>1.6361969904240765</v>
      </c>
      <c r="J659" s="10">
        <f>(8.15*2.62+7.8*7.5+7*4.5)/$H659</f>
        <v>7.6164842681258547</v>
      </c>
      <c r="K659" s="12">
        <f>(47*2.62+33*7.5+40*4.5)/$H659</f>
        <v>37.663474692202456</v>
      </c>
      <c r="L659" s="8"/>
      <c r="M659" s="8"/>
    </row>
    <row r="660" spans="1:13" ht="17.25" customHeight="1" x14ac:dyDescent="0.2">
      <c r="A660" s="2" t="s">
        <v>1279</v>
      </c>
      <c r="B660" s="2" t="s">
        <v>1270</v>
      </c>
      <c r="C660" s="2" t="s">
        <v>24</v>
      </c>
      <c r="D660" s="2" t="s">
        <v>1100</v>
      </c>
      <c r="E660" s="2" t="s">
        <v>26</v>
      </c>
      <c r="F660" s="2" t="s">
        <v>1075</v>
      </c>
      <c r="G660" s="2" t="s">
        <v>977</v>
      </c>
      <c r="H660" s="8">
        <f>3.6+3.5</f>
        <v>7.1</v>
      </c>
      <c r="I660" s="8"/>
      <c r="J660" s="8">
        <f>(10.2*3.6+9.13*3.5)/H660</f>
        <v>9.672535211267606</v>
      </c>
      <c r="K660" s="9"/>
      <c r="L660" s="8"/>
      <c r="M660" s="8"/>
    </row>
    <row r="661" spans="1:13" ht="17.25" customHeight="1" x14ac:dyDescent="0.2">
      <c r="A661" s="2" t="s">
        <v>1280</v>
      </c>
      <c r="B661" s="2" t="s">
        <v>1270</v>
      </c>
      <c r="C661" s="2" t="s">
        <v>14</v>
      </c>
      <c r="D661" s="2" t="s">
        <v>142</v>
      </c>
      <c r="E661" s="2" t="s">
        <v>26</v>
      </c>
      <c r="F661" s="2" t="s">
        <v>17</v>
      </c>
      <c r="G661" s="2" t="s">
        <v>1281</v>
      </c>
      <c r="H661" s="8">
        <v>5.8</v>
      </c>
      <c r="I661" s="8">
        <v>6.4</v>
      </c>
      <c r="J661" s="8">
        <v>0.8</v>
      </c>
      <c r="K661" s="9">
        <v>47</v>
      </c>
      <c r="L661" s="8">
        <v>0.4</v>
      </c>
      <c r="M661" s="8"/>
    </row>
    <row r="662" spans="1:13" ht="17.25" customHeight="1" x14ac:dyDescent="0.2">
      <c r="A662" s="2" t="s">
        <v>1282</v>
      </c>
      <c r="B662" s="2" t="s">
        <v>1270</v>
      </c>
      <c r="C662" s="15" t="s">
        <v>1277</v>
      </c>
      <c r="D662" s="2" t="s">
        <v>333</v>
      </c>
      <c r="E662" s="15" t="s">
        <v>171</v>
      </c>
      <c r="F662" s="2" t="s">
        <v>1283</v>
      </c>
      <c r="G662" s="2" t="s">
        <v>399</v>
      </c>
      <c r="H662" s="9">
        <v>12</v>
      </c>
      <c r="I662" s="8">
        <v>0.77</v>
      </c>
      <c r="J662" s="8">
        <v>0.63</v>
      </c>
      <c r="K662" s="8">
        <v>12.74</v>
      </c>
      <c r="L662" s="8">
        <v>0.48</v>
      </c>
      <c r="M662" s="8"/>
    </row>
    <row r="663" spans="1:13" ht="17.25" customHeight="1" x14ac:dyDescent="0.2">
      <c r="A663" s="2" t="s">
        <v>1284</v>
      </c>
      <c r="B663" s="2" t="s">
        <v>1285</v>
      </c>
      <c r="C663" s="2" t="s">
        <v>14</v>
      </c>
      <c r="D663" s="2" t="s">
        <v>38</v>
      </c>
      <c r="E663" s="7" t="s">
        <v>16</v>
      </c>
      <c r="F663" s="2" t="s">
        <v>17</v>
      </c>
      <c r="G663" s="2" t="s">
        <v>1286</v>
      </c>
      <c r="H663" s="8">
        <v>1.3</v>
      </c>
      <c r="I663" s="8">
        <v>2.13</v>
      </c>
      <c r="J663" s="8">
        <v>13.35</v>
      </c>
      <c r="K663" s="9">
        <v>27</v>
      </c>
      <c r="L663" s="8"/>
      <c r="M663" s="8"/>
    </row>
    <row r="664" spans="1:13" ht="17.25" customHeight="1" x14ac:dyDescent="0.2">
      <c r="A664" s="2" t="s">
        <v>1287</v>
      </c>
      <c r="B664" s="2" t="s">
        <v>1285</v>
      </c>
      <c r="C664" s="2" t="s">
        <v>14</v>
      </c>
      <c r="D664" s="2" t="s">
        <v>38</v>
      </c>
      <c r="E664" s="7" t="s">
        <v>16</v>
      </c>
      <c r="F664" s="2" t="s">
        <v>17</v>
      </c>
      <c r="G664" s="2" t="s">
        <v>1286</v>
      </c>
      <c r="H664" s="8">
        <v>1.1000000000000001</v>
      </c>
      <c r="I664" s="8">
        <v>4.05</v>
      </c>
      <c r="J664" s="8">
        <v>16.25</v>
      </c>
      <c r="K664" s="8">
        <v>19.43</v>
      </c>
      <c r="L664" s="8"/>
      <c r="M664" s="8"/>
    </row>
    <row r="665" spans="1:13" ht="17.25" customHeight="1" x14ac:dyDescent="0.2">
      <c r="A665" s="2" t="s">
        <v>1288</v>
      </c>
      <c r="B665" s="2" t="s">
        <v>1289</v>
      </c>
      <c r="C665" s="2" t="s">
        <v>42</v>
      </c>
      <c r="D665" s="2"/>
      <c r="E665" s="7" t="s">
        <v>16</v>
      </c>
      <c r="F665" s="2" t="s">
        <v>1290</v>
      </c>
      <c r="G665" s="2" t="s">
        <v>1291</v>
      </c>
      <c r="H665" s="9">
        <v>160</v>
      </c>
      <c r="I665" s="8">
        <v>3.2</v>
      </c>
      <c r="J665" s="8">
        <v>3.6</v>
      </c>
      <c r="K665" s="9">
        <v>180</v>
      </c>
      <c r="L665" s="8">
        <v>1.5</v>
      </c>
      <c r="M665" s="8">
        <v>0.6</v>
      </c>
    </row>
    <row r="666" spans="1:13" ht="17.25" customHeight="1" x14ac:dyDescent="0.2">
      <c r="A666" s="2" t="s">
        <v>1292</v>
      </c>
      <c r="B666" s="2" t="s">
        <v>1289</v>
      </c>
      <c r="C666" s="2" t="s">
        <v>14</v>
      </c>
      <c r="D666" s="2" t="s">
        <v>15</v>
      </c>
      <c r="E666" s="7" t="s">
        <v>16</v>
      </c>
      <c r="F666" s="2" t="s">
        <v>1290</v>
      </c>
      <c r="G666" s="2" t="s">
        <v>1291</v>
      </c>
      <c r="H666" s="9">
        <v>266</v>
      </c>
      <c r="I666" s="8">
        <v>0.88</v>
      </c>
      <c r="J666" s="8">
        <v>4.21</v>
      </c>
      <c r="K666" s="9"/>
      <c r="L666" s="8"/>
      <c r="M666" s="8"/>
    </row>
    <row r="667" spans="1:13" ht="17.25" customHeight="1" x14ac:dyDescent="0.2">
      <c r="A667" s="2" t="s">
        <v>1293</v>
      </c>
      <c r="B667" s="2" t="s">
        <v>1294</v>
      </c>
      <c r="C667" s="2" t="s">
        <v>14</v>
      </c>
      <c r="D667" s="2" t="s">
        <v>38</v>
      </c>
      <c r="E667" s="2" t="s">
        <v>26</v>
      </c>
      <c r="F667" s="2" t="s">
        <v>860</v>
      </c>
      <c r="G667" s="2" t="s">
        <v>861</v>
      </c>
      <c r="H667" s="8">
        <v>14.48</v>
      </c>
      <c r="I667" s="8">
        <v>3.4</v>
      </c>
      <c r="J667" s="8">
        <v>9.9</v>
      </c>
      <c r="K667" s="8">
        <v>19.100000000000001</v>
      </c>
      <c r="L667" s="8"/>
      <c r="M667" s="8"/>
    </row>
    <row r="668" spans="1:13" ht="17.25" customHeight="1" x14ac:dyDescent="0.2">
      <c r="A668" s="2" t="s">
        <v>1295</v>
      </c>
      <c r="B668" s="2" t="s">
        <v>1294</v>
      </c>
      <c r="C668" s="2" t="s">
        <v>14</v>
      </c>
      <c r="D668" s="2" t="s">
        <v>38</v>
      </c>
      <c r="E668" s="7" t="s">
        <v>16</v>
      </c>
      <c r="F668" s="2" t="s">
        <v>17</v>
      </c>
      <c r="G668" s="2" t="s">
        <v>18</v>
      </c>
      <c r="H668" s="8">
        <v>9.9</v>
      </c>
      <c r="I668" s="8">
        <v>1.4</v>
      </c>
      <c r="J668" s="8">
        <v>5.4</v>
      </c>
      <c r="K668" s="9"/>
      <c r="L668" s="8"/>
      <c r="M668" s="8"/>
    </row>
    <row r="669" spans="1:13" ht="17.25" customHeight="1" x14ac:dyDescent="0.2">
      <c r="A669" s="2" t="s">
        <v>1296</v>
      </c>
      <c r="B669" s="2" t="s">
        <v>1297</v>
      </c>
      <c r="C669" s="2" t="s">
        <v>132</v>
      </c>
      <c r="D669" s="2" t="s">
        <v>1100</v>
      </c>
      <c r="E669" s="2" t="s">
        <v>26</v>
      </c>
      <c r="F669" s="2" t="s">
        <v>1298</v>
      </c>
      <c r="G669" s="2" t="s">
        <v>741</v>
      </c>
      <c r="H669" s="8">
        <f>2.119+4.494+0.197+0.017+0.92+0.553</f>
        <v>8.3000000000000007</v>
      </c>
      <c r="I669" s="8">
        <f>(0.93*2.119+0.71*4.494+0.51*0.197+1.66*0.017+0.95*0.92+0.81*0.553)/$H669</f>
        <v>0.79663012048192761</v>
      </c>
      <c r="J669" s="8">
        <f>(8.11*2.119+5.55*4.494+4.6*0.197+4.58*0.017+5.58*0.92+5.63*0.553)/$H669</f>
        <v>6.1876915662650598</v>
      </c>
      <c r="K669" s="9"/>
      <c r="L669" s="8"/>
      <c r="M669" s="8"/>
    </row>
    <row r="670" spans="1:13" ht="17.25" customHeight="1" x14ac:dyDescent="0.2">
      <c r="A670" s="2" t="s">
        <v>1299</v>
      </c>
      <c r="B670" s="2" t="s">
        <v>1297</v>
      </c>
      <c r="C670" s="2" t="s">
        <v>1300</v>
      </c>
      <c r="D670" s="2" t="s">
        <v>1246</v>
      </c>
      <c r="E670" s="2" t="s">
        <v>26</v>
      </c>
      <c r="F670" s="2" t="s">
        <v>1301</v>
      </c>
      <c r="G670" s="2" t="s">
        <v>82</v>
      </c>
      <c r="H670" s="8">
        <f>4.969+3.008+3.031</f>
        <v>11.008000000000001</v>
      </c>
      <c r="I670" s="8">
        <f>(1.04*4.969+0.69*3.008+0.85*3.031)/$H670</f>
        <v>0.89204487645348829</v>
      </c>
      <c r="J670" s="8">
        <f>(1.62*4.969+0.99*3.008+1.42*3.031)/$H670</f>
        <v>1.3927797965116278</v>
      </c>
      <c r="K670" s="10">
        <f>31.1*(3.92*4.969+1.9*3.008+5.01*3.031)/$H670</f>
        <v>114.07945030886627</v>
      </c>
      <c r="L670" s="8">
        <f>(0.12*4.969+0.06*3.008+0.15*3.031)/$H670</f>
        <v>0.11186500726744183</v>
      </c>
      <c r="M670" s="8"/>
    </row>
    <row r="671" spans="1:13" ht="17.25" customHeight="1" x14ac:dyDescent="0.2">
      <c r="A671" s="2" t="s">
        <v>1302</v>
      </c>
      <c r="B671" s="2" t="s">
        <v>1297</v>
      </c>
      <c r="C671" s="2" t="s">
        <v>132</v>
      </c>
      <c r="D671" s="2"/>
      <c r="E671" s="2" t="s">
        <v>26</v>
      </c>
      <c r="F671" s="2" t="s">
        <v>1303</v>
      </c>
      <c r="G671" s="2" t="s">
        <v>71</v>
      </c>
      <c r="H671" s="8">
        <v>0.17299999999999999</v>
      </c>
      <c r="I671" s="8">
        <v>0.38</v>
      </c>
      <c r="J671" s="8">
        <v>4.32</v>
      </c>
      <c r="K671" s="10">
        <v>325.30600000000004</v>
      </c>
      <c r="L671" s="8"/>
      <c r="M671" s="8"/>
    </row>
    <row r="672" spans="1:13" ht="17.25" customHeight="1" x14ac:dyDescent="0.2">
      <c r="A672" s="2" t="s">
        <v>1304</v>
      </c>
      <c r="B672" s="2" t="s">
        <v>1297</v>
      </c>
      <c r="C672" s="2" t="s">
        <v>30</v>
      </c>
      <c r="D672" s="2" t="s">
        <v>262</v>
      </c>
      <c r="E672" s="2" t="s">
        <v>26</v>
      </c>
      <c r="F672" s="2" t="s">
        <v>1305</v>
      </c>
      <c r="G672" s="2" t="s">
        <v>423</v>
      </c>
      <c r="H672" s="8">
        <v>519.54100000000005</v>
      </c>
      <c r="I672" s="8">
        <v>0.05</v>
      </c>
      <c r="J672" s="8">
        <v>0.19</v>
      </c>
      <c r="K672" s="8">
        <v>7.56</v>
      </c>
      <c r="L672" s="8">
        <v>0.27</v>
      </c>
      <c r="M672" s="8">
        <v>0.35</v>
      </c>
    </row>
    <row r="673" spans="1:13" ht="17.25" customHeight="1" x14ac:dyDescent="0.2">
      <c r="A673" s="2" t="s">
        <v>1306</v>
      </c>
      <c r="B673" s="2" t="s">
        <v>1297</v>
      </c>
      <c r="C673" s="2" t="s">
        <v>132</v>
      </c>
      <c r="D673" s="2" t="s">
        <v>1307</v>
      </c>
      <c r="E673" s="2" t="s">
        <v>26</v>
      </c>
      <c r="F673" s="2" t="s">
        <v>1308</v>
      </c>
      <c r="G673" s="2" t="s">
        <v>1309</v>
      </c>
      <c r="H673" s="9">
        <f>185+523+630+71+312+400</f>
        <v>2121</v>
      </c>
      <c r="I673" s="8"/>
      <c r="J673" s="8">
        <f>(0.13*185+0.15*523+0.1*630+1.73*71+1.73*312+1.4*400)/$H673</f>
        <v>0.65445073078736438</v>
      </c>
      <c r="K673" s="10">
        <f>(7.7*185+8*523+7.4*630+15.6*71+14.3*312+15*400)/$H673</f>
        <v>10.296888260254597</v>
      </c>
      <c r="L673" s="8">
        <f>(0.87*185+0.86*523+0.7*630+0.99*71+0.92*312+0.9*400)/$H673</f>
        <v>0.83406883545497401</v>
      </c>
      <c r="M673" s="8"/>
    </row>
    <row r="674" spans="1:13" ht="17.25" customHeight="1" x14ac:dyDescent="0.2">
      <c r="A674" s="2" t="s">
        <v>1310</v>
      </c>
      <c r="B674" s="2" t="s">
        <v>1297</v>
      </c>
      <c r="C674" s="2" t="s">
        <v>132</v>
      </c>
      <c r="D674" s="2"/>
      <c r="E674" s="2" t="s">
        <v>26</v>
      </c>
      <c r="F674" s="2" t="s">
        <v>1311</v>
      </c>
      <c r="G674" s="2" t="s">
        <v>1312</v>
      </c>
      <c r="H674" s="11">
        <f>7.279032+3.706297</f>
        <v>10.985329</v>
      </c>
      <c r="I674" s="8"/>
      <c r="J674" s="8">
        <f>(1.88*7.279032+1.62*3.706297)/$H674</f>
        <v>1.7922796213021934</v>
      </c>
      <c r="K674" s="10">
        <f>(19.2*7.279032+16.6*3.706297)/$H674</f>
        <v>18.322796213021931</v>
      </c>
      <c r="L674" s="8">
        <f>(1.2*7.279032+1.04*3.706297)/$H674</f>
        <v>1.1460182284936573</v>
      </c>
      <c r="M674" s="8">
        <f>(0.88*7.279032+0.93*3.706297)/$H674</f>
        <v>0.89686930359573214</v>
      </c>
    </row>
    <row r="675" spans="1:13" ht="17.25" customHeight="1" x14ac:dyDescent="0.2">
      <c r="A675" s="2" t="s">
        <v>1313</v>
      </c>
      <c r="B675" s="2" t="s">
        <v>1297</v>
      </c>
      <c r="C675" s="2" t="s">
        <v>132</v>
      </c>
      <c r="D675" s="2"/>
      <c r="E675" s="2" t="s">
        <v>26</v>
      </c>
      <c r="F675" s="2" t="s">
        <v>1314</v>
      </c>
      <c r="G675" s="2" t="s">
        <v>82</v>
      </c>
      <c r="H675" s="11">
        <v>18.093468000000001</v>
      </c>
      <c r="I675" s="8">
        <v>1.37</v>
      </c>
      <c r="J675" s="8">
        <v>3.92</v>
      </c>
      <c r="K675" s="10">
        <f>2.34*31.1</f>
        <v>72.774000000000001</v>
      </c>
      <c r="L675" s="8">
        <v>0.34</v>
      </c>
      <c r="M675" s="8"/>
    </row>
    <row r="676" spans="1:13" ht="17.25" customHeight="1" x14ac:dyDescent="0.2">
      <c r="A676" s="2" t="s">
        <v>1315</v>
      </c>
      <c r="B676" s="2" t="s">
        <v>1297</v>
      </c>
      <c r="C676" s="2" t="s">
        <v>132</v>
      </c>
      <c r="D676" s="2"/>
      <c r="E676" s="2" t="s">
        <v>26</v>
      </c>
      <c r="F676" s="2" t="s">
        <v>1316</v>
      </c>
      <c r="G676" s="2" t="s">
        <v>1317</v>
      </c>
      <c r="H676" s="8">
        <v>13.3</v>
      </c>
      <c r="I676" s="8">
        <v>0.2</v>
      </c>
      <c r="J676" s="8">
        <v>5.9</v>
      </c>
      <c r="K676" s="9">
        <v>14</v>
      </c>
      <c r="L676" s="8"/>
      <c r="M676" s="8"/>
    </row>
    <row r="677" spans="1:13" ht="17.25" customHeight="1" x14ac:dyDescent="0.2">
      <c r="A677" s="2" t="s">
        <v>1318</v>
      </c>
      <c r="B677" s="2" t="s">
        <v>1297</v>
      </c>
      <c r="C677" s="2" t="s">
        <v>14</v>
      </c>
      <c r="D677" s="2" t="s">
        <v>15</v>
      </c>
      <c r="E677" s="2" t="s">
        <v>26</v>
      </c>
      <c r="F677" s="2" t="s">
        <v>1319</v>
      </c>
      <c r="G677" s="2" t="s">
        <v>1320</v>
      </c>
      <c r="H677" s="8">
        <f>1.43+1.35+9.07</f>
        <v>11.850000000000001</v>
      </c>
      <c r="I677" s="8">
        <f>(1.85*1.43+1.71*1.35+1.21*9.07)/$H677</f>
        <v>1.3441940928270042</v>
      </c>
      <c r="J677" s="8">
        <f>(13.02*1.43+12.51*1.35+10.87*9.07)/$H677</f>
        <v>11.316286919831221</v>
      </c>
      <c r="K677" s="10">
        <f>(19.3*1.43+17.1*1.35+12.2*9.07)/$H677</f>
        <v>13.615021097046411</v>
      </c>
      <c r="L677" s="8"/>
      <c r="M677" s="8"/>
    </row>
    <row r="678" spans="1:13" ht="17.25" customHeight="1" x14ac:dyDescent="0.2">
      <c r="A678" s="2" t="s">
        <v>1321</v>
      </c>
      <c r="B678" s="2" t="s">
        <v>1297</v>
      </c>
      <c r="C678" s="2" t="s">
        <v>30</v>
      </c>
      <c r="D678" s="2" t="s">
        <v>900</v>
      </c>
      <c r="E678" s="2" t="s">
        <v>26</v>
      </c>
      <c r="F678" s="2" t="s">
        <v>1322</v>
      </c>
      <c r="G678" s="2" t="s">
        <v>82</v>
      </c>
      <c r="H678" s="8">
        <f>3.083+1.989+6.184</f>
        <v>11.256</v>
      </c>
      <c r="I678" s="8">
        <f>(1.69*3.083+1.08*1.989+2.11*6.184)/$H678</f>
        <v>1.8129557569296375</v>
      </c>
      <c r="J678" s="8">
        <f>(2.49*3.083+2.07*1.989+2.97*6.184)/$H678</f>
        <v>2.679493603411514</v>
      </c>
      <c r="K678" s="12">
        <f>(137*3.083+76*1.989+121*6.184)/$H678</f>
        <v>117.43061478322672</v>
      </c>
      <c r="L678" s="8"/>
      <c r="M678" s="8">
        <f>(0.4*3.083+0.3*1.989+0.5*6.184)/$H678</f>
        <v>0.4372690120824449</v>
      </c>
    </row>
    <row r="679" spans="1:13" ht="17.25" customHeight="1" x14ac:dyDescent="0.2">
      <c r="A679" s="2" t="s">
        <v>1323</v>
      </c>
      <c r="B679" s="2" t="s">
        <v>1297</v>
      </c>
      <c r="C679" s="2" t="s">
        <v>30</v>
      </c>
      <c r="D679" s="2" t="s">
        <v>1324</v>
      </c>
      <c r="E679" s="2" t="s">
        <v>26</v>
      </c>
      <c r="F679" s="2" t="s">
        <v>1301</v>
      </c>
      <c r="G679" s="2" t="s">
        <v>82</v>
      </c>
      <c r="H679" s="8">
        <f>29.741+120.75+52.606</f>
        <v>203.09699999999998</v>
      </c>
      <c r="I679" s="8">
        <f>(0.78*29.741+1.25*120.75+0.78*52.606)/$H679</f>
        <v>1.0594354421778758</v>
      </c>
      <c r="J679" s="8">
        <f>(1.99*29.741+3.1*120.75+1.6*52.606)/$H679</f>
        <v>2.5489258334687372</v>
      </c>
      <c r="K679" s="10">
        <f>31.1*(4.05*29.741+2.75*120.75+3.84*52.606)/$H679</f>
        <v>100.22595286488722</v>
      </c>
      <c r="L679" s="8">
        <f>(0.05*29.741+0.24*120.75+0.25*52.606)/$H679</f>
        <v>0.21476708173926745</v>
      </c>
      <c r="M679" s="8"/>
    </row>
    <row r="680" spans="1:13" ht="17.25" customHeight="1" x14ac:dyDescent="0.2">
      <c r="A680" s="2" t="s">
        <v>1325</v>
      </c>
      <c r="B680" s="2" t="s">
        <v>1297</v>
      </c>
      <c r="C680" s="2" t="s">
        <v>24</v>
      </c>
      <c r="D680" s="2"/>
      <c r="E680" s="2" t="s">
        <v>26</v>
      </c>
      <c r="F680" s="2" t="s">
        <v>1314</v>
      </c>
      <c r="G680" s="2" t="s">
        <v>82</v>
      </c>
      <c r="H680" s="11">
        <v>85.107369000000006</v>
      </c>
      <c r="I680" s="8">
        <v>0.28999999999999998</v>
      </c>
      <c r="J680" s="8">
        <v>2.57</v>
      </c>
      <c r="K680" s="10">
        <f>0.79*31.1</f>
        <v>24.569000000000003</v>
      </c>
      <c r="L680" s="8">
        <v>0.75</v>
      </c>
      <c r="M680" s="8"/>
    </row>
    <row r="681" spans="1:13" ht="17.25" customHeight="1" x14ac:dyDescent="0.2">
      <c r="A681" s="2" t="s">
        <v>1326</v>
      </c>
      <c r="B681" s="2" t="s">
        <v>1297</v>
      </c>
      <c r="C681" s="2" t="s">
        <v>132</v>
      </c>
      <c r="D681" s="2"/>
      <c r="E681" s="2" t="s">
        <v>26</v>
      </c>
      <c r="F681" s="2" t="s">
        <v>1301</v>
      </c>
      <c r="G681" s="2" t="s">
        <v>82</v>
      </c>
      <c r="H681" s="8">
        <f>9.157+1.148+7.966</f>
        <v>18.271000000000001</v>
      </c>
      <c r="I681" s="8">
        <f>(1.72*9.157+2.35*1.148+2.55*7.966)/$H681</f>
        <v>2.121456953642384</v>
      </c>
      <c r="J681" s="8">
        <f>(6.26*9.157+7.54*1.148+6.91*7.966)/$H681</f>
        <v>6.6238191669859336</v>
      </c>
      <c r="K681" s="10">
        <f>31.1*(3.92*9.157+3.74*1.148+3.82*7.966)/$H681</f>
        <v>120.20433408133107</v>
      </c>
      <c r="L681" s="8">
        <f>(0.24*9.157+0.18*1.148+0.28*7.966)/$H681</f>
        <v>0.25366974987685403</v>
      </c>
      <c r="M681" s="8"/>
    </row>
    <row r="682" spans="1:13" ht="17.25" customHeight="1" x14ac:dyDescent="0.2">
      <c r="A682" s="2" t="s">
        <v>1327</v>
      </c>
      <c r="B682" s="2" t="s">
        <v>1297</v>
      </c>
      <c r="C682" s="2" t="s">
        <v>132</v>
      </c>
      <c r="D682" s="2"/>
      <c r="E682" s="2" t="s">
        <v>26</v>
      </c>
      <c r="F682" s="2" t="s">
        <v>625</v>
      </c>
      <c r="G682" s="2" t="s">
        <v>40</v>
      </c>
      <c r="H682" s="8">
        <f>1.33+0.97+0.81</f>
        <v>3.11</v>
      </c>
      <c r="I682" s="8">
        <f>(1.83*1.33+0.69*0.97+0.63*0.81)/$H682</f>
        <v>1.1618971061093248</v>
      </c>
      <c r="J682" s="8">
        <f>(4.65*1.33+3.76*0.97+3.07*0.81)/$H682</f>
        <v>3.9609003215434089</v>
      </c>
      <c r="K682" s="10">
        <f>(94.72*1.33+61.66*0.97+45.96*0.81)/$H682</f>
        <v>71.709131832797425</v>
      </c>
      <c r="L682" s="8">
        <f>(0.8*1.33+0.93*0.97+0.81*0.81)/$H682</f>
        <v>0.84315112540192938</v>
      </c>
      <c r="M682" s="8"/>
    </row>
    <row r="683" spans="1:13" ht="17.25" customHeight="1" x14ac:dyDescent="0.2">
      <c r="A683" s="2" t="s">
        <v>1328</v>
      </c>
      <c r="B683" s="2" t="s">
        <v>1297</v>
      </c>
      <c r="C683" s="2" t="s">
        <v>30</v>
      </c>
      <c r="D683" s="2" t="s">
        <v>1329</v>
      </c>
      <c r="E683" s="2" t="s">
        <v>26</v>
      </c>
      <c r="F683" s="2" t="s">
        <v>1330</v>
      </c>
      <c r="G683" s="2" t="s">
        <v>1331</v>
      </c>
      <c r="H683" s="8">
        <f>40.961+249.63+49.793</f>
        <v>340.38400000000001</v>
      </c>
      <c r="I683" s="8">
        <f>(0.866*40.961+0.629*249.63+0.464*49.793)/$H683</f>
        <v>0.63338302622919995</v>
      </c>
      <c r="J683" s="8">
        <f>(0.531*40.961+0.377*249.63+0.278*49.793)/$H683</f>
        <v>0.38104979963805585</v>
      </c>
      <c r="K683" s="10">
        <f>(53.57*40.961+35.89*249.63+30*49.793)/$H683</f>
        <v>37.155951719234743</v>
      </c>
      <c r="L683" s="8"/>
      <c r="M683" s="8"/>
    </row>
    <row r="684" spans="1:13" ht="17.25" customHeight="1" x14ac:dyDescent="0.2">
      <c r="A684" s="2" t="s">
        <v>1332</v>
      </c>
      <c r="B684" s="2" t="s">
        <v>1297</v>
      </c>
      <c r="C684" s="2" t="s">
        <v>132</v>
      </c>
      <c r="D684" s="2"/>
      <c r="E684" s="2" t="s">
        <v>26</v>
      </c>
      <c r="F684" s="2" t="s">
        <v>625</v>
      </c>
      <c r="G684" s="2" t="s">
        <v>1333</v>
      </c>
      <c r="H684" s="8">
        <f>0.63+0.26+4.88-0.051</f>
        <v>5.7189999999999994</v>
      </c>
      <c r="I684" s="8">
        <f>(2.1*0.63+1.66*0.26+1.57*4.88-0.49*0.051)/$H684</f>
        <v>1.6421070117153349</v>
      </c>
      <c r="J684" s="8">
        <f>(2.97*0.63+3.45*0.26+2.98*4.88-1.82*0.051)/$H684</f>
        <v>3.0106102465465989</v>
      </c>
      <c r="K684" s="10">
        <f>(169.85*0.63+186.07*0.26+224.54*4.88-119.78*0.051)/$H684</f>
        <v>217.70066794894214</v>
      </c>
      <c r="L684" s="8">
        <f>(0.38*0.63+0.54*0.26+0.48*4.88-0.53*0.051)/$H684</f>
        <v>0.47126595558664108</v>
      </c>
      <c r="M684" s="8">
        <f>(5.18*0.63+4.72*0.26+4.91*4.88-2.42*0.051)/$H684</f>
        <v>4.9533100192341326</v>
      </c>
    </row>
    <row r="685" spans="1:13" ht="17.25" customHeight="1" x14ac:dyDescent="0.2">
      <c r="A685" s="2" t="s">
        <v>1334</v>
      </c>
      <c r="B685" s="2" t="s">
        <v>1297</v>
      </c>
      <c r="C685" s="2" t="s">
        <v>132</v>
      </c>
      <c r="D685" s="2"/>
      <c r="E685" s="2" t="s">
        <v>26</v>
      </c>
      <c r="F685" s="2" t="s">
        <v>1335</v>
      </c>
      <c r="G685" s="2" t="s">
        <v>1336</v>
      </c>
      <c r="H685" s="8">
        <v>45.926000000000002</v>
      </c>
      <c r="I685" s="8">
        <v>0.86</v>
      </c>
      <c r="J685" s="8">
        <v>2.5299999999999998</v>
      </c>
      <c r="K685" s="8">
        <v>28.62</v>
      </c>
      <c r="L685" s="8"/>
      <c r="M685" s="8"/>
    </row>
    <row r="686" spans="1:13" ht="17.25" customHeight="1" x14ac:dyDescent="0.2">
      <c r="A686" s="2" t="s">
        <v>1337</v>
      </c>
      <c r="B686" s="2" t="s">
        <v>1297</v>
      </c>
      <c r="C686" s="2" t="s">
        <v>132</v>
      </c>
      <c r="D686" s="2"/>
      <c r="E686" s="2" t="s">
        <v>26</v>
      </c>
      <c r="F686" s="2" t="s">
        <v>1314</v>
      </c>
      <c r="G686" s="2" t="s">
        <v>82</v>
      </c>
      <c r="H686" s="11">
        <v>40.972762000000003</v>
      </c>
      <c r="I686" s="8">
        <v>0.89</v>
      </c>
      <c r="J686" s="8">
        <v>4.6399999999999997</v>
      </c>
      <c r="K686" s="10">
        <f>1.94*31.1</f>
        <v>60.334000000000003</v>
      </c>
      <c r="L686" s="8">
        <v>0.27</v>
      </c>
      <c r="M686" s="8"/>
    </row>
    <row r="687" spans="1:13" ht="17.25" customHeight="1" x14ac:dyDescent="0.2">
      <c r="A687" s="2" t="s">
        <v>1338</v>
      </c>
      <c r="B687" s="2" t="s">
        <v>1297</v>
      </c>
      <c r="C687" s="2" t="s">
        <v>132</v>
      </c>
      <c r="D687" s="2"/>
      <c r="E687" s="2" t="s">
        <v>26</v>
      </c>
      <c r="F687" s="2" t="s">
        <v>1314</v>
      </c>
      <c r="G687" s="2" t="s">
        <v>82</v>
      </c>
      <c r="H687" s="11">
        <v>60.455579999999998</v>
      </c>
      <c r="I687" s="8">
        <v>0.65</v>
      </c>
      <c r="J687" s="8">
        <v>4.38</v>
      </c>
      <c r="K687" s="10">
        <f>0.98*31.1</f>
        <v>30.478000000000002</v>
      </c>
      <c r="L687" s="8">
        <v>0.06</v>
      </c>
      <c r="M687" s="8"/>
    </row>
    <row r="688" spans="1:13" ht="17.25" customHeight="1" x14ac:dyDescent="0.2">
      <c r="A688" s="2" t="s">
        <v>1339</v>
      </c>
      <c r="B688" s="2" t="s">
        <v>1297</v>
      </c>
      <c r="C688" s="2" t="s">
        <v>1164</v>
      </c>
      <c r="D688" s="2"/>
      <c r="E688" s="7" t="s">
        <v>16</v>
      </c>
      <c r="F688" s="2" t="s">
        <v>455</v>
      </c>
      <c r="G688" s="2" t="s">
        <v>1340</v>
      </c>
      <c r="H688" s="11">
        <v>0.87441199999999997</v>
      </c>
      <c r="I688" s="8">
        <v>3.31</v>
      </c>
      <c r="J688" s="8">
        <v>3.63</v>
      </c>
      <c r="K688" s="9">
        <v>209</v>
      </c>
      <c r="L688" s="8"/>
      <c r="M688" s="8">
        <v>1.3</v>
      </c>
    </row>
    <row r="689" spans="1:13" ht="17.25" customHeight="1" x14ac:dyDescent="0.2">
      <c r="A689" s="2" t="s">
        <v>1341</v>
      </c>
      <c r="B689" s="2" t="s">
        <v>1297</v>
      </c>
      <c r="C689" s="2" t="s">
        <v>30</v>
      </c>
      <c r="D689" s="2" t="s">
        <v>53</v>
      </c>
      <c r="E689" s="2" t="s">
        <v>26</v>
      </c>
      <c r="F689" s="2" t="s">
        <v>46</v>
      </c>
      <c r="G689" s="2" t="s">
        <v>47</v>
      </c>
      <c r="H689" s="8">
        <f>6.9+4.7+1.5+1+8.5</f>
        <v>22.6</v>
      </c>
      <c r="I689" s="8">
        <f>(1.41*6.9+1.5*4.7+1.85*1.5+1.89*1+1.61*8.5)/$H689</f>
        <v>1.5543805309734515</v>
      </c>
      <c r="J689" s="8">
        <f>(2.95*6.9+2.89*4.7+3.06*1.5+3.22*1+2.72*8.5)/$H689</f>
        <v>2.8702654867256641</v>
      </c>
      <c r="K689" s="12">
        <f>(169*6.9+163*4.7+162*1.5+166*1+161*8.5)/$H689</f>
        <v>164.14601769911505</v>
      </c>
      <c r="L689" s="8">
        <f>(0.44*6.9+0.42*4.7+0.2*1.5+0.24*1+0.29*8.5)/$H689</f>
        <v>0.35464601769911502</v>
      </c>
      <c r="M689" s="8"/>
    </row>
    <row r="690" spans="1:13" ht="17.25" customHeight="1" x14ac:dyDescent="0.2">
      <c r="A690" s="2" t="s">
        <v>1342</v>
      </c>
      <c r="B690" s="2" t="s">
        <v>1297</v>
      </c>
      <c r="C690" s="2" t="s">
        <v>30</v>
      </c>
      <c r="D690" s="2" t="s">
        <v>900</v>
      </c>
      <c r="E690" s="2" t="s">
        <v>26</v>
      </c>
      <c r="F690" s="2" t="s">
        <v>1343</v>
      </c>
      <c r="G690" s="2" t="s">
        <v>47</v>
      </c>
      <c r="H690" s="8">
        <f>0.131+8.513+2.534</f>
        <v>11.178000000000001</v>
      </c>
      <c r="I690" s="8">
        <f>(0.39*0.131+0.24*8.513+0.27*2.534)/$H690</f>
        <v>0.2485587761674718</v>
      </c>
      <c r="J690" s="8">
        <f>(0.38*0.131+0.28*8.513+0.18*2.534)/$H690</f>
        <v>0.25850241545893721</v>
      </c>
      <c r="K690" s="10">
        <f>(31.71*0.131+15.65*8.513+12.02*2.534)/$H690</f>
        <v>15.015310431204149</v>
      </c>
      <c r="L690" s="8">
        <f>(0.73*0.131+0.42*8.513+0.46*2.534)/$H690</f>
        <v>0.43270084093755584</v>
      </c>
      <c r="M690" s="8">
        <f>(4.29*0.131+2.09*8.513+1.61*2.534)/$H690</f>
        <v>2.0069690463410268</v>
      </c>
    </row>
    <row r="691" spans="1:13" ht="17.25" customHeight="1" x14ac:dyDescent="0.2">
      <c r="A691" s="2" t="s">
        <v>1344</v>
      </c>
      <c r="B691" s="2" t="s">
        <v>1297</v>
      </c>
      <c r="C691" s="2" t="s">
        <v>132</v>
      </c>
      <c r="D691" s="2"/>
      <c r="E691" s="2" t="s">
        <v>26</v>
      </c>
      <c r="F691" s="2" t="s">
        <v>39</v>
      </c>
      <c r="G691" s="2" t="s">
        <v>40</v>
      </c>
      <c r="H691" s="8">
        <f>0.93+3.8+12</f>
        <v>16.73</v>
      </c>
      <c r="I691" s="8">
        <f>(0.88*0.93+0.7*3.8+0.6*12)/$H691</f>
        <v>0.63827854154213981</v>
      </c>
      <c r="J691" s="10">
        <f>(12.5*0.93+6.7*3.8+4*12)/$H691</f>
        <v>5.0857740585774058</v>
      </c>
      <c r="K691" s="12">
        <f>(25.1*0.93+34*3.8+20*12)/$H691</f>
        <v>23.463419007770472</v>
      </c>
      <c r="L691" s="10">
        <f>(0.37*0.93+0.3*3.8+0.2*12)/$H691</f>
        <v>0.23216377764494919</v>
      </c>
      <c r="M691" s="8"/>
    </row>
    <row r="692" spans="1:13" ht="17.25" customHeight="1" x14ac:dyDescent="0.2">
      <c r="A692" s="2" t="s">
        <v>1345</v>
      </c>
      <c r="B692" s="2" t="s">
        <v>1297</v>
      </c>
      <c r="C692" s="2" t="s">
        <v>162</v>
      </c>
      <c r="D692" s="2" t="s">
        <v>53</v>
      </c>
      <c r="E692" s="2" t="s">
        <v>26</v>
      </c>
      <c r="F692" s="2" t="s">
        <v>1301</v>
      </c>
      <c r="G692" s="2" t="s">
        <v>82</v>
      </c>
      <c r="H692" s="8">
        <v>0.3</v>
      </c>
      <c r="I692" s="8">
        <v>0.54</v>
      </c>
      <c r="J692" s="8">
        <v>1.1200000000000001</v>
      </c>
      <c r="K692" s="10">
        <f>10.59*31.1</f>
        <v>329.34899999999999</v>
      </c>
      <c r="L692" s="8"/>
      <c r="M692" s="8"/>
    </row>
    <row r="693" spans="1:13" ht="17.25" customHeight="1" x14ac:dyDescent="0.2">
      <c r="A693" s="2" t="s">
        <v>1346</v>
      </c>
      <c r="B693" s="2" t="s">
        <v>1297</v>
      </c>
      <c r="C693" s="2" t="s">
        <v>30</v>
      </c>
      <c r="D693" s="2" t="s">
        <v>1127</v>
      </c>
      <c r="E693" s="2" t="s">
        <v>26</v>
      </c>
      <c r="F693" s="2" t="s">
        <v>1303</v>
      </c>
      <c r="G693" s="2" t="s">
        <v>82</v>
      </c>
      <c r="H693" s="8">
        <v>0.373</v>
      </c>
      <c r="I693" s="8">
        <v>2.27</v>
      </c>
      <c r="J693" s="8"/>
      <c r="K693" s="10">
        <f>20.249*31.1</f>
        <v>629.74389999999994</v>
      </c>
      <c r="L693" s="8">
        <v>0.44</v>
      </c>
      <c r="M693" s="8">
        <f>0.018*31.1</f>
        <v>0.55979999999999996</v>
      </c>
    </row>
    <row r="694" spans="1:13" ht="17.25" customHeight="1" x14ac:dyDescent="0.2">
      <c r="A694" s="2" t="s">
        <v>1347</v>
      </c>
      <c r="B694" s="2" t="s">
        <v>1297</v>
      </c>
      <c r="C694" s="2" t="s">
        <v>42</v>
      </c>
      <c r="D694" s="2" t="s">
        <v>1348</v>
      </c>
      <c r="E694" s="2" t="s">
        <v>26</v>
      </c>
      <c r="F694" s="2" t="s">
        <v>1349</v>
      </c>
      <c r="G694" s="2" t="s">
        <v>1350</v>
      </c>
      <c r="H694" s="9">
        <v>3600</v>
      </c>
      <c r="I694" s="8"/>
      <c r="J694" s="13">
        <v>0.09</v>
      </c>
      <c r="K694" s="9"/>
      <c r="L694" s="8">
        <v>0.51</v>
      </c>
      <c r="M694" s="8"/>
    </row>
    <row r="695" spans="1:13" ht="17.25" customHeight="1" x14ac:dyDescent="0.2">
      <c r="A695" s="2" t="s">
        <v>1351</v>
      </c>
      <c r="B695" s="2" t="s">
        <v>1297</v>
      </c>
      <c r="C695" s="2" t="s">
        <v>132</v>
      </c>
      <c r="D695" s="2"/>
      <c r="E695" s="2" t="s">
        <v>26</v>
      </c>
      <c r="F695" s="2" t="s">
        <v>1303</v>
      </c>
      <c r="G695" s="2" t="s">
        <v>82</v>
      </c>
      <c r="H695" s="8">
        <v>0.123</v>
      </c>
      <c r="I695" s="8">
        <v>6.64</v>
      </c>
      <c r="J695" s="8">
        <v>8.4700000000000006</v>
      </c>
      <c r="K695" s="10">
        <f>12.632*31.1</f>
        <v>392.85520000000002</v>
      </c>
      <c r="L695" s="8"/>
      <c r="M695" s="8"/>
    </row>
    <row r="696" spans="1:13" ht="17.25" customHeight="1" x14ac:dyDescent="0.2">
      <c r="A696" s="2" t="s">
        <v>1352</v>
      </c>
      <c r="B696" s="2" t="s">
        <v>1297</v>
      </c>
      <c r="C696" s="2" t="s">
        <v>30</v>
      </c>
      <c r="D696" s="2" t="s">
        <v>1353</v>
      </c>
      <c r="E696" s="2" t="s">
        <v>26</v>
      </c>
      <c r="F696" s="2" t="s">
        <v>46</v>
      </c>
      <c r="G696" s="2" t="s">
        <v>47</v>
      </c>
      <c r="H696" s="8">
        <f>2.7+2.7+0.8+1.1+8</f>
        <v>15.3</v>
      </c>
      <c r="I696" s="8">
        <f>(1.32*2.7+1.31*2.7+1.31*0.8+1.45*1.1+1.45*8)/$H696</f>
        <v>1.3950326797385622</v>
      </c>
      <c r="J696" s="8">
        <f>(4.32*2.7+4.06*2.7+3.57*0.8+3.37*1.1+5.11*8)/$H696</f>
        <v>4.5796732026143792</v>
      </c>
      <c r="K696" s="12">
        <f>(188*2.7+206*2.7+150*0.8+202*1.1+209*8)/$H696</f>
        <v>201.17647058823528</v>
      </c>
      <c r="L696" s="8">
        <f>(0.47*2.7+0.69*2.7+0.41*0.8+0.54*1.1+0.43*8)/$H696</f>
        <v>0.4898039215686274</v>
      </c>
      <c r="M696" s="8"/>
    </row>
    <row r="697" spans="1:13" ht="17.25" customHeight="1" x14ac:dyDescent="0.2">
      <c r="A697" s="2" t="s">
        <v>1354</v>
      </c>
      <c r="B697" s="2" t="s">
        <v>1297</v>
      </c>
      <c r="C697" s="2" t="s">
        <v>162</v>
      </c>
      <c r="D697" s="2" t="s">
        <v>53</v>
      </c>
      <c r="E697" s="2" t="s">
        <v>26</v>
      </c>
      <c r="F697" s="2" t="s">
        <v>1301</v>
      </c>
      <c r="G697" s="2" t="s">
        <v>82</v>
      </c>
      <c r="H697" s="8">
        <v>6.79</v>
      </c>
      <c r="I697" s="8"/>
      <c r="J697" s="8">
        <v>0.23</v>
      </c>
      <c r="K697" s="10">
        <f>0.88*31.1</f>
        <v>27.368000000000002</v>
      </c>
      <c r="L697" s="8">
        <v>0.75</v>
      </c>
      <c r="M697" s="8"/>
    </row>
    <row r="698" spans="1:13" ht="17.25" customHeight="1" x14ac:dyDescent="0.2">
      <c r="A698" s="2" t="s">
        <v>1355</v>
      </c>
      <c r="B698" s="2" t="s">
        <v>1297</v>
      </c>
      <c r="C698" s="2" t="s">
        <v>14</v>
      </c>
      <c r="D698" s="2" t="s">
        <v>142</v>
      </c>
      <c r="E698" s="2" t="s">
        <v>26</v>
      </c>
      <c r="F698" s="2" t="s">
        <v>1301</v>
      </c>
      <c r="G698" s="2" t="s">
        <v>82</v>
      </c>
      <c r="H698" s="9">
        <v>8</v>
      </c>
      <c r="I698" s="8"/>
      <c r="J698" s="8">
        <v>4.42</v>
      </c>
      <c r="K698" s="10">
        <f>0.63*31.1</f>
        <v>19.593</v>
      </c>
      <c r="L698" s="8"/>
      <c r="M698" s="8"/>
    </row>
    <row r="699" spans="1:13" ht="17.25" customHeight="1" x14ac:dyDescent="0.2">
      <c r="A699" s="2" t="s">
        <v>1356</v>
      </c>
      <c r="B699" s="2" t="s">
        <v>1297</v>
      </c>
      <c r="C699" s="2" t="s">
        <v>30</v>
      </c>
      <c r="D699" s="2" t="s">
        <v>49</v>
      </c>
      <c r="E699" s="2" t="s">
        <v>26</v>
      </c>
      <c r="F699" s="2" t="s">
        <v>1176</v>
      </c>
      <c r="G699" s="2" t="s">
        <v>82</v>
      </c>
      <c r="H699" s="8">
        <v>10.827999999999999</v>
      </c>
      <c r="I699" s="8">
        <v>0.31</v>
      </c>
      <c r="J699" s="8">
        <v>0.5</v>
      </c>
      <c r="K699" s="9">
        <v>111</v>
      </c>
      <c r="L699" s="8"/>
      <c r="M699" s="8"/>
    </row>
    <row r="700" spans="1:13" ht="17.25" customHeight="1" x14ac:dyDescent="0.2">
      <c r="A700" s="2" t="s">
        <v>1357</v>
      </c>
      <c r="B700" s="2" t="s">
        <v>1297</v>
      </c>
      <c r="C700" s="2" t="s">
        <v>14</v>
      </c>
      <c r="D700" s="2" t="s">
        <v>142</v>
      </c>
      <c r="E700" s="2" t="s">
        <v>26</v>
      </c>
      <c r="F700" s="2" t="s">
        <v>625</v>
      </c>
      <c r="G700" s="2" t="s">
        <v>1358</v>
      </c>
      <c r="H700" s="8">
        <v>0.79</v>
      </c>
      <c r="I700" s="8">
        <v>0.7</v>
      </c>
      <c r="J700" s="8">
        <v>8.01</v>
      </c>
      <c r="K700" s="8">
        <v>58.8</v>
      </c>
      <c r="L700" s="8"/>
      <c r="M700" s="8"/>
    </row>
    <row r="701" spans="1:13" ht="17.25" customHeight="1" x14ac:dyDescent="0.2">
      <c r="A701" s="2" t="s">
        <v>1359</v>
      </c>
      <c r="B701" s="2" t="s">
        <v>1297</v>
      </c>
      <c r="C701" s="2" t="s">
        <v>30</v>
      </c>
      <c r="D701" s="2" t="s">
        <v>49</v>
      </c>
      <c r="E701" s="2" t="s">
        <v>26</v>
      </c>
      <c r="F701" s="2" t="s">
        <v>1311</v>
      </c>
      <c r="G701" s="2" t="s">
        <v>1312</v>
      </c>
      <c r="H701" s="11">
        <f>1.405+3.4352+4.3236</f>
        <v>9.1638000000000002</v>
      </c>
      <c r="I701" s="8">
        <f>(1.09*1.405+0.72*3.4352+0.76*4.3236)/$H701</f>
        <v>0.79560116982038021</v>
      </c>
      <c r="J701" s="8">
        <f>(3.47*1.405+1.98*3.4352+2.36*4.3236)/$H701</f>
        <v>2.3877367467644426</v>
      </c>
      <c r="K701" s="12">
        <f>(148*1.405+113*3.4352+107*4.3236)/$H701</f>
        <v>115.53534559898732</v>
      </c>
      <c r="L701" s="8">
        <f>(1.07*1.405+1.51*3.4352+0.76*4.3236)/$H701</f>
        <v>1.0886791505707238</v>
      </c>
      <c r="M701" s="8">
        <f>(0.69*1.405+0.66*3.4352+0.35*4.3236)/$H701</f>
        <v>0.51833758920971651</v>
      </c>
    </row>
    <row r="702" spans="1:13" ht="17.25" customHeight="1" x14ac:dyDescent="0.2">
      <c r="A702" s="2" t="s">
        <v>1360</v>
      </c>
      <c r="B702" s="2" t="s">
        <v>1297</v>
      </c>
      <c r="C702" s="2" t="s">
        <v>30</v>
      </c>
      <c r="D702" s="2"/>
      <c r="E702" s="2" t="s">
        <v>26</v>
      </c>
      <c r="F702" s="2" t="s">
        <v>1303</v>
      </c>
      <c r="G702" s="2" t="s">
        <v>82</v>
      </c>
      <c r="H702" s="8">
        <v>6.4000000000000001E-2</v>
      </c>
      <c r="I702" s="8">
        <v>3.55</v>
      </c>
      <c r="J702" s="8">
        <v>6.49</v>
      </c>
      <c r="K702" s="10">
        <f>9.899*31.1</f>
        <v>307.85890000000001</v>
      </c>
      <c r="L702" s="8"/>
      <c r="M702" s="8"/>
    </row>
    <row r="703" spans="1:13" ht="17.25" customHeight="1" x14ac:dyDescent="0.2">
      <c r="A703" s="2" t="s">
        <v>1361</v>
      </c>
      <c r="B703" s="2" t="s">
        <v>1297</v>
      </c>
      <c r="C703" s="2" t="s">
        <v>30</v>
      </c>
      <c r="D703" s="2" t="s">
        <v>49</v>
      </c>
      <c r="E703" s="2" t="s">
        <v>26</v>
      </c>
      <c r="F703" s="2" t="s">
        <v>1301</v>
      </c>
      <c r="G703" s="2" t="s">
        <v>82</v>
      </c>
      <c r="H703" s="8">
        <v>1.49</v>
      </c>
      <c r="I703" s="8">
        <v>0.69</v>
      </c>
      <c r="J703" s="8">
        <v>1.1599999999999999</v>
      </c>
      <c r="K703" s="12">
        <f>9.08*31.1</f>
        <v>282.38800000000003</v>
      </c>
      <c r="L703" s="8">
        <v>0.26</v>
      </c>
      <c r="M703" s="8">
        <v>0.28000000000000003</v>
      </c>
    </row>
    <row r="704" spans="1:13" ht="17.25" customHeight="1" x14ac:dyDescent="0.2">
      <c r="A704" s="2" t="s">
        <v>1362</v>
      </c>
      <c r="B704" s="2" t="s">
        <v>1297</v>
      </c>
      <c r="C704" s="2" t="s">
        <v>30</v>
      </c>
      <c r="D704" s="2" t="s">
        <v>262</v>
      </c>
      <c r="E704" s="2" t="s">
        <v>26</v>
      </c>
      <c r="F704" s="2" t="s">
        <v>1335</v>
      </c>
      <c r="G704" s="2" t="s">
        <v>1363</v>
      </c>
      <c r="H704" s="11">
        <v>79.933811000000006</v>
      </c>
      <c r="I704" s="8">
        <v>1.528</v>
      </c>
      <c r="J704" s="8">
        <v>5.2229999999999999</v>
      </c>
      <c r="K704" s="10">
        <f>0.308*31.1</f>
        <v>9.5788000000000011</v>
      </c>
      <c r="L704" s="8"/>
      <c r="M704" s="8"/>
    </row>
    <row r="705" spans="1:13" ht="17.25" customHeight="1" x14ac:dyDescent="0.2">
      <c r="A705" s="2" t="s">
        <v>1364</v>
      </c>
      <c r="B705" s="2" t="s">
        <v>1297</v>
      </c>
      <c r="C705" s="2" t="s">
        <v>30</v>
      </c>
      <c r="D705" s="2" t="s">
        <v>49</v>
      </c>
      <c r="E705" s="2" t="s">
        <v>26</v>
      </c>
      <c r="F705" s="2" t="s">
        <v>1301</v>
      </c>
      <c r="G705" s="2" t="s">
        <v>82</v>
      </c>
      <c r="H705" s="8">
        <v>0.91</v>
      </c>
      <c r="I705" s="8">
        <v>3.85</v>
      </c>
      <c r="J705" s="8">
        <v>6.06</v>
      </c>
      <c r="K705" s="10">
        <f>8.69*31.1</f>
        <v>270.25900000000001</v>
      </c>
      <c r="L705" s="8"/>
      <c r="M705" s="8"/>
    </row>
    <row r="706" spans="1:13" ht="17.25" customHeight="1" x14ac:dyDescent="0.2">
      <c r="A706" s="2" t="s">
        <v>1365</v>
      </c>
      <c r="B706" s="2" t="s">
        <v>1297</v>
      </c>
      <c r="C706" s="2" t="s">
        <v>132</v>
      </c>
      <c r="D706" s="2"/>
      <c r="E706" s="2" t="s">
        <v>26</v>
      </c>
      <c r="F706" s="2" t="s">
        <v>455</v>
      </c>
      <c r="G706" s="2" t="s">
        <v>264</v>
      </c>
      <c r="H706" s="8">
        <f>8.544+22.511</f>
        <v>31.055</v>
      </c>
      <c r="I706" s="8">
        <f>(1.06*8.544+0.32*22.511)/$H706</f>
        <v>0.52359233617774925</v>
      </c>
      <c r="J706" s="8">
        <f>(3.05*8.544+3.42*22.511)/$H706</f>
        <v>3.3182038319111253</v>
      </c>
      <c r="K706" s="12">
        <f>(35*8.544+18*22.511)/$H706</f>
        <v>22.677121236515863</v>
      </c>
      <c r="L706" s="8">
        <f>(0.06*8.544+0.09*22.511)/$H706</f>
        <v>8.1746256641442583E-2</v>
      </c>
      <c r="M706" s="8"/>
    </row>
    <row r="707" spans="1:13" ht="17.25" customHeight="1" x14ac:dyDescent="0.2">
      <c r="A707" s="2" t="s">
        <v>1366</v>
      </c>
      <c r="B707" s="2" t="s">
        <v>1297</v>
      </c>
      <c r="C707" s="2" t="s">
        <v>1367</v>
      </c>
      <c r="D707" s="2"/>
      <c r="E707" s="15" t="s">
        <v>171</v>
      </c>
      <c r="F707" s="2" t="s">
        <v>455</v>
      </c>
      <c r="G707" s="2" t="s">
        <v>264</v>
      </c>
      <c r="H707" s="8">
        <v>4.1920000000000002</v>
      </c>
      <c r="I707" s="8"/>
      <c r="J707" s="8">
        <v>1.93</v>
      </c>
      <c r="K707" s="9"/>
      <c r="L707" s="8"/>
      <c r="M707" s="8"/>
    </row>
    <row r="708" spans="1:13" ht="17.25" customHeight="1" x14ac:dyDescent="0.2">
      <c r="A708" s="2" t="s">
        <v>1368</v>
      </c>
      <c r="B708" s="2" t="s">
        <v>1297</v>
      </c>
      <c r="C708" s="2" t="s">
        <v>30</v>
      </c>
      <c r="D708" s="2" t="s">
        <v>49</v>
      </c>
      <c r="E708" s="2" t="s">
        <v>26</v>
      </c>
      <c r="F708" s="2" t="s">
        <v>1335</v>
      </c>
      <c r="G708" s="2" t="s">
        <v>1363</v>
      </c>
      <c r="H708" s="8">
        <v>45.926000000000002</v>
      </c>
      <c r="I708" s="8">
        <v>0.86</v>
      </c>
      <c r="J708" s="8">
        <v>2.5299999999999998</v>
      </c>
      <c r="K708" s="10">
        <f>0.92*31.1</f>
        <v>28.612000000000002</v>
      </c>
      <c r="L708" s="8"/>
      <c r="M708" s="8"/>
    </row>
    <row r="709" spans="1:13" ht="17.25" customHeight="1" x14ac:dyDescent="0.2">
      <c r="A709" s="2" t="s">
        <v>1369</v>
      </c>
      <c r="B709" s="2" t="s">
        <v>1297</v>
      </c>
      <c r="C709" s="2" t="s">
        <v>30</v>
      </c>
      <c r="D709" s="2" t="s">
        <v>49</v>
      </c>
      <c r="E709" s="2" t="s">
        <v>26</v>
      </c>
      <c r="F709" s="2" t="s">
        <v>1303</v>
      </c>
      <c r="G709" s="2" t="s">
        <v>82</v>
      </c>
      <c r="H709" s="8">
        <v>1.6</v>
      </c>
      <c r="I709" s="8">
        <v>2.1</v>
      </c>
      <c r="J709" s="10">
        <v>3</v>
      </c>
      <c r="K709" s="12">
        <f>9.2*31.1</f>
        <v>286.12</v>
      </c>
      <c r="L709" s="8"/>
      <c r="M709" s="8">
        <v>13.6</v>
      </c>
    </row>
    <row r="710" spans="1:13" ht="17.25" customHeight="1" x14ac:dyDescent="0.2">
      <c r="A710" s="2" t="s">
        <v>1370</v>
      </c>
      <c r="B710" s="2" t="s">
        <v>1297</v>
      </c>
      <c r="C710" s="2" t="s">
        <v>132</v>
      </c>
      <c r="D710" s="2"/>
      <c r="E710" s="2" t="s">
        <v>26</v>
      </c>
      <c r="F710" s="2" t="s">
        <v>1303</v>
      </c>
      <c r="G710" s="2" t="s">
        <v>82</v>
      </c>
      <c r="H710" s="8">
        <f>3.485+0.064+0.287</f>
        <v>3.8359999999999999</v>
      </c>
      <c r="I710" s="8">
        <f>(1.05*3.485+5.1*0.064+0*0.287)/$H710</f>
        <v>1.0390119916579772</v>
      </c>
      <c r="J710" s="8">
        <f>(1.42*3.485+6.6*0.064+0*0.287)/$H710</f>
        <v>1.4001824817518247</v>
      </c>
      <c r="K710" s="10">
        <f>31.1*(16.854*3.485+7.496*0.064+19.742*0.287)/$H710</f>
        <v>526.02364880083417</v>
      </c>
      <c r="L710" s="8"/>
      <c r="M710" s="8"/>
    </row>
    <row r="711" spans="1:13" ht="17.25" customHeight="1" x14ac:dyDescent="0.2">
      <c r="A711" s="2" t="s">
        <v>1371</v>
      </c>
      <c r="B711" s="2" t="s">
        <v>1297</v>
      </c>
      <c r="C711" s="2" t="s">
        <v>30</v>
      </c>
      <c r="D711" s="2" t="s">
        <v>280</v>
      </c>
      <c r="E711" s="2" t="s">
        <v>26</v>
      </c>
      <c r="F711" s="2" t="s">
        <v>1301</v>
      </c>
      <c r="G711" s="2" t="s">
        <v>82</v>
      </c>
      <c r="H711" s="8">
        <f>0.187+0.821+0.341</f>
        <v>1.349</v>
      </c>
      <c r="I711" s="8">
        <f>(1.94*0.187+1.3*0.821+2.12*0.341)/$H711</f>
        <v>1.5959970348406227</v>
      </c>
      <c r="J711" s="8">
        <f>(2.02*0.187+3*0.821+4.16*0.341)/$H711</f>
        <v>3.1573758339510754</v>
      </c>
      <c r="K711" s="10">
        <f>31.1*(6.06*0.187+4.4*0.821+4.63*0.341)/$H711</f>
        <v>145.80459229058562</v>
      </c>
      <c r="L711" s="8">
        <f>(0.01*0.187+0.15*0.821+0.09*0.341)/$H711</f>
        <v>0.11542624166048925</v>
      </c>
      <c r="M711" s="8"/>
    </row>
    <row r="712" spans="1:13" ht="17.25" customHeight="1" x14ac:dyDescent="0.2">
      <c r="A712" s="2" t="s">
        <v>1372</v>
      </c>
      <c r="B712" s="2" t="s">
        <v>1297</v>
      </c>
      <c r="C712" s="2" t="s">
        <v>132</v>
      </c>
      <c r="D712" s="2" t="s">
        <v>1100</v>
      </c>
      <c r="E712" s="2" t="s">
        <v>26</v>
      </c>
      <c r="F712" s="2" t="s">
        <v>1298</v>
      </c>
      <c r="G712" s="2" t="s">
        <v>741</v>
      </c>
      <c r="H712" s="8">
        <f>26.491+1.169</f>
        <v>27.66</v>
      </c>
      <c r="I712" s="8">
        <f>(2.18*26.491+1.09*1.169)/$H712</f>
        <v>2.1339331164135937</v>
      </c>
      <c r="J712" s="8">
        <f>(2.37*26.491+2.17*1.169)/$H712</f>
        <v>2.3615473608098339</v>
      </c>
      <c r="K712" s="9"/>
      <c r="L712" s="8"/>
      <c r="M712" s="8"/>
    </row>
    <row r="713" spans="1:13" ht="17.25" customHeight="1" x14ac:dyDescent="0.2">
      <c r="A713" s="2" t="s">
        <v>1373</v>
      </c>
      <c r="B713" s="2" t="s">
        <v>1297</v>
      </c>
      <c r="C713" s="2" t="s">
        <v>132</v>
      </c>
      <c r="D713" s="2"/>
      <c r="E713" s="2" t="s">
        <v>26</v>
      </c>
      <c r="F713" s="2" t="s">
        <v>1301</v>
      </c>
      <c r="G713" s="2" t="s">
        <v>82</v>
      </c>
      <c r="H713" s="8">
        <f>25.363+16.306+30.076</f>
        <v>71.745000000000005</v>
      </c>
      <c r="I713" s="8">
        <f>(0.92*25.363+0.52*16.306+0.78*30.076)/$H713</f>
        <v>0.77040016725904237</v>
      </c>
      <c r="J713" s="8">
        <f>(5.82*25.363+1.72*16.306+4.86*30.076)/$H713</f>
        <v>4.4857249982577185</v>
      </c>
      <c r="K713" s="10">
        <f>31.1*(3.9*25.363+1.67*16.306+4.23*30.076)/$H713</f>
        <v>109.82996752386926</v>
      </c>
      <c r="L713" s="8">
        <f>(0.16*25.363+0.26*16.306+0.24*30.076)/$H713</f>
        <v>0.21626426928705833</v>
      </c>
      <c r="M713" s="8"/>
    </row>
    <row r="714" spans="1:13" ht="17.25" customHeight="1" x14ac:dyDescent="0.2">
      <c r="A714" s="2" t="s">
        <v>1374</v>
      </c>
      <c r="B714" s="2" t="s">
        <v>1297</v>
      </c>
      <c r="C714" s="2" t="s">
        <v>162</v>
      </c>
      <c r="D714" s="2"/>
      <c r="E714" s="2" t="s">
        <v>26</v>
      </c>
      <c r="F714" s="2" t="s">
        <v>39</v>
      </c>
      <c r="G714" s="2" t="s">
        <v>40</v>
      </c>
      <c r="H714" s="8">
        <f>1.74+8.8+13</f>
        <v>23.54</v>
      </c>
      <c r="I714" s="8">
        <f>(1.28*1.74+1.5*8.8+1*13)/$H714</f>
        <v>1.2076125743415462</v>
      </c>
      <c r="J714" s="10">
        <f>(3.58*1.74+3.5*8.8+4*13)/$H714</f>
        <v>3.7820390824129144</v>
      </c>
      <c r="K714" s="12">
        <f>(156*1.74+210*8.8+200*13)/$H714</f>
        <v>200.48598130841125</v>
      </c>
      <c r="L714" s="10">
        <f>(0.36*1.74+0.4*8.8+0.4*13)/$H714</f>
        <v>0.39704333050127449</v>
      </c>
      <c r="M714" s="8"/>
    </row>
    <row r="715" spans="1:13" ht="17.25" customHeight="1" x14ac:dyDescent="0.2">
      <c r="A715" s="2" t="s">
        <v>1375</v>
      </c>
      <c r="B715" s="2" t="s">
        <v>1297</v>
      </c>
      <c r="C715" s="2" t="s">
        <v>132</v>
      </c>
      <c r="D715" s="2"/>
      <c r="E715" s="2" t="s">
        <v>26</v>
      </c>
      <c r="F715" s="2" t="s">
        <v>1142</v>
      </c>
      <c r="G715" s="2" t="s">
        <v>264</v>
      </c>
      <c r="H715" s="11">
        <f>1.229+4.91+0.37</f>
        <v>6.5090000000000003</v>
      </c>
      <c r="I715" s="8">
        <f>(3.44*1.229+2.1*4.91+5.15*0.37)/$H715</f>
        <v>2.5263880780457826</v>
      </c>
      <c r="J715" s="8">
        <f>(4.42*1.229+3.13*4.91+2.43*0.37)/$H715</f>
        <v>3.333780918727915</v>
      </c>
      <c r="K715" s="10">
        <f>(159.4*1.229+102.6*4.91+239.9*0.37)/$H715</f>
        <v>121.12945152865262</v>
      </c>
      <c r="L715" s="8">
        <f>(0.8*1.229+1.08*4.91+0.42*0.37)/$H715</f>
        <v>0.9896143800891074</v>
      </c>
      <c r="M715" s="8">
        <f>(1.09*1.229+0.91*4.91+1.45*0.37)/$H715</f>
        <v>0.97468274696573987</v>
      </c>
    </row>
    <row r="716" spans="1:13" ht="17.25" customHeight="1" x14ac:dyDescent="0.2">
      <c r="A716" s="2" t="s">
        <v>1376</v>
      </c>
      <c r="B716" s="2" t="s">
        <v>1297</v>
      </c>
      <c r="C716" s="2" t="s">
        <v>162</v>
      </c>
      <c r="D716" s="2" t="s">
        <v>53</v>
      </c>
      <c r="E716" s="2" t="s">
        <v>26</v>
      </c>
      <c r="F716" s="2" t="s">
        <v>1301</v>
      </c>
      <c r="G716" s="2" t="s">
        <v>82</v>
      </c>
      <c r="H716" s="8">
        <f>2.74+2.9</f>
        <v>5.6400000000000006</v>
      </c>
      <c r="I716" s="8">
        <f>(1.26*2.74+1.34*2.9)/$H716</f>
        <v>1.3011347517730496</v>
      </c>
      <c r="J716" s="8">
        <f>(0.91*2.74+1.04*2.9)/$H716</f>
        <v>0.97684397163120562</v>
      </c>
      <c r="K716" s="10">
        <f>31.1*(1.71*2.74+1.72*2.9)/$H716</f>
        <v>53.340911347517732</v>
      </c>
      <c r="L716" s="8"/>
      <c r="M716" s="8"/>
    </row>
    <row r="717" spans="1:13" ht="17.25" customHeight="1" x14ac:dyDescent="0.2">
      <c r="A717" s="2" t="s">
        <v>1377</v>
      </c>
      <c r="B717" s="2" t="s">
        <v>1378</v>
      </c>
      <c r="C717" s="2" t="s">
        <v>24</v>
      </c>
      <c r="D717" s="2"/>
      <c r="E717" s="2" t="s">
        <v>26</v>
      </c>
      <c r="F717" s="2" t="s">
        <v>1379</v>
      </c>
      <c r="G717" s="2" t="s">
        <v>1380</v>
      </c>
      <c r="H717" s="11">
        <v>0.99456299999999997</v>
      </c>
      <c r="I717" s="8"/>
      <c r="J717" s="8">
        <v>0.73</v>
      </c>
      <c r="K717" s="8">
        <v>13.48</v>
      </c>
      <c r="L717" s="8">
        <v>0.75</v>
      </c>
      <c r="M717" s="8">
        <v>0.54</v>
      </c>
    </row>
    <row r="718" spans="1:13" ht="17.25" customHeight="1" x14ac:dyDescent="0.2">
      <c r="A718" s="2" t="s">
        <v>1381</v>
      </c>
      <c r="B718" s="2" t="s">
        <v>1378</v>
      </c>
      <c r="C718" s="2" t="s">
        <v>30</v>
      </c>
      <c r="D718" s="2"/>
      <c r="E718" s="2" t="s">
        <v>26</v>
      </c>
      <c r="F718" s="2" t="s">
        <v>1382</v>
      </c>
      <c r="G718" s="2" t="s">
        <v>1383</v>
      </c>
      <c r="H718" s="8">
        <v>2.7</v>
      </c>
      <c r="I718" s="8">
        <v>0.85</v>
      </c>
      <c r="J718" s="8">
        <v>1.58</v>
      </c>
      <c r="K718" s="9">
        <v>26</v>
      </c>
      <c r="L718" s="8"/>
      <c r="M718" s="8"/>
    </row>
    <row r="719" spans="1:13" ht="17.25" customHeight="1" x14ac:dyDescent="0.2">
      <c r="A719" s="2" t="s">
        <v>1384</v>
      </c>
      <c r="B719" s="2" t="s">
        <v>1378</v>
      </c>
      <c r="C719" s="2" t="s">
        <v>24</v>
      </c>
      <c r="D719" s="2"/>
      <c r="E719" s="2" t="s">
        <v>26</v>
      </c>
      <c r="F719" s="2" t="s">
        <v>1385</v>
      </c>
      <c r="G719" s="2" t="s">
        <v>1386</v>
      </c>
      <c r="H719" s="8">
        <f>4.428+0.009+0.699</f>
        <v>5.1360000000000001</v>
      </c>
      <c r="I719" s="8">
        <f>(0.11*4.428+0.05*0.009+0.02*0.699)/$H719</f>
        <v>9.7646028037383176E-2</v>
      </c>
      <c r="J719" s="8">
        <f>(2.74*4.428+0.02*0.009+0.11*0.699)/$H719</f>
        <v>2.377295560747664</v>
      </c>
      <c r="K719" s="10">
        <f>(31.21*4.428+10.37*0.009+6.42*0.699)/$H719</f>
        <v>27.799608644859816</v>
      </c>
      <c r="L719" s="8">
        <f>(1.54*4.428+0.24*0.009+0.16*0.699)/$H719</f>
        <v>1.3499065420560747</v>
      </c>
      <c r="M719" s="8">
        <f>(2.78*4.428+1.78*0.009+0.98*0.699)/$H719</f>
        <v>2.5332710280373827</v>
      </c>
    </row>
    <row r="720" spans="1:13" ht="17.25" customHeight="1" x14ac:dyDescent="0.2">
      <c r="A720" s="2" t="s">
        <v>1387</v>
      </c>
      <c r="B720" s="2" t="s">
        <v>1388</v>
      </c>
      <c r="C720" s="2" t="s">
        <v>24</v>
      </c>
      <c r="D720" s="2"/>
      <c r="E720" s="2" t="s">
        <v>26</v>
      </c>
      <c r="F720" s="2" t="s">
        <v>1389</v>
      </c>
      <c r="G720" s="2" t="s">
        <v>1390</v>
      </c>
      <c r="H720" s="8">
        <v>38.4</v>
      </c>
      <c r="I720" s="11">
        <f>19.29/10000</f>
        <v>1.9289999999999999E-3</v>
      </c>
      <c r="J720" s="11">
        <f>659/10000</f>
        <v>6.59E-2</v>
      </c>
      <c r="K720" s="8">
        <v>1.802</v>
      </c>
      <c r="L720" s="8">
        <v>0.60770000000000002</v>
      </c>
      <c r="M720" s="8">
        <v>0.28000000000000003</v>
      </c>
    </row>
    <row r="721" spans="1:13" ht="17.25" customHeight="1" x14ac:dyDescent="0.2">
      <c r="A721" s="2" t="s">
        <v>1391</v>
      </c>
      <c r="B721" s="2" t="s">
        <v>1388</v>
      </c>
      <c r="C721" s="2" t="s">
        <v>24</v>
      </c>
      <c r="D721" s="2" t="s">
        <v>1043</v>
      </c>
      <c r="E721" s="2" t="s">
        <v>26</v>
      </c>
      <c r="F721" s="2" t="s">
        <v>1392</v>
      </c>
      <c r="G721" s="2" t="s">
        <v>82</v>
      </c>
      <c r="H721" s="8">
        <f>1.03+1.54</f>
        <v>2.5700000000000003</v>
      </c>
      <c r="I721" s="8"/>
      <c r="J721" s="10">
        <f>(0.4*1.03+0.9*1.54)/$H721</f>
        <v>0.6996108949416342</v>
      </c>
      <c r="K721" s="10">
        <f>(23*1.03+34*1.54)/$H721</f>
        <v>29.591439688715948</v>
      </c>
      <c r="L721" s="10">
        <f>(7.2*1.03+8.1*1.54)/$H721</f>
        <v>7.7392996108949408</v>
      </c>
      <c r="M721" s="10">
        <f>(5*1.03+6.4*1.54)/$H721</f>
        <v>5.8389105058365764</v>
      </c>
    </row>
    <row r="722" spans="1:13" ht="17.25" customHeight="1" x14ac:dyDescent="0.2">
      <c r="A722" s="2" t="s">
        <v>1393</v>
      </c>
      <c r="B722" s="2" t="s">
        <v>1388</v>
      </c>
      <c r="C722" s="2" t="s">
        <v>24</v>
      </c>
      <c r="D722" s="2" t="s">
        <v>1043</v>
      </c>
      <c r="E722" s="2" t="s">
        <v>26</v>
      </c>
      <c r="F722" s="2" t="s">
        <v>1392</v>
      </c>
      <c r="G722" s="2" t="s">
        <v>82</v>
      </c>
      <c r="H722" s="8">
        <v>0.23</v>
      </c>
      <c r="I722" s="8"/>
      <c r="J722" s="8">
        <v>3.6</v>
      </c>
      <c r="K722" s="9">
        <v>56</v>
      </c>
      <c r="L722" s="8">
        <v>7.3</v>
      </c>
      <c r="M722" s="8">
        <v>3.6</v>
      </c>
    </row>
    <row r="723" spans="1:13" ht="17.25" customHeight="1" x14ac:dyDescent="0.2">
      <c r="A723" s="2" t="s">
        <v>1394</v>
      </c>
      <c r="B723" s="2" t="s">
        <v>1395</v>
      </c>
      <c r="C723" s="2" t="s">
        <v>14</v>
      </c>
      <c r="D723" s="2" t="s">
        <v>15</v>
      </c>
      <c r="E723" s="2" t="s">
        <v>26</v>
      </c>
      <c r="F723" s="2" t="s">
        <v>1396</v>
      </c>
      <c r="G723" s="2" t="s">
        <v>1189</v>
      </c>
      <c r="H723" s="8">
        <v>21.2</v>
      </c>
      <c r="I723" s="8">
        <v>1.54</v>
      </c>
      <c r="J723" s="8">
        <v>5.88</v>
      </c>
      <c r="K723" s="9"/>
      <c r="L723" s="8"/>
      <c r="M723" s="8"/>
    </row>
    <row r="724" spans="1:13" ht="17.25" customHeight="1" x14ac:dyDescent="0.2">
      <c r="A724" s="2" t="s">
        <v>1397</v>
      </c>
      <c r="B724" s="2" t="s">
        <v>1398</v>
      </c>
      <c r="C724" s="2" t="s">
        <v>24</v>
      </c>
      <c r="D724" s="2"/>
      <c r="E724" s="7" t="s">
        <v>16</v>
      </c>
      <c r="F724" s="2" t="s">
        <v>1399</v>
      </c>
      <c r="G724" s="2" t="s">
        <v>841</v>
      </c>
      <c r="H724" s="9">
        <v>13</v>
      </c>
      <c r="I724" s="8">
        <v>1.8</v>
      </c>
      <c r="J724" s="8">
        <v>5.6</v>
      </c>
      <c r="K724" s="9">
        <v>65</v>
      </c>
      <c r="L724" s="8">
        <v>0.2</v>
      </c>
      <c r="M724" s="8"/>
    </row>
    <row r="725" spans="1:13" ht="17.25" customHeight="1" x14ac:dyDescent="0.2">
      <c r="A725" s="2" t="s">
        <v>1400</v>
      </c>
      <c r="B725" s="2" t="s">
        <v>1398</v>
      </c>
      <c r="C725" s="2" t="s">
        <v>24</v>
      </c>
      <c r="D725" s="2"/>
      <c r="E725" s="2" t="s">
        <v>26</v>
      </c>
      <c r="F725" s="2" t="s">
        <v>1401</v>
      </c>
      <c r="G725" s="2" t="s">
        <v>1402</v>
      </c>
      <c r="H725" s="8">
        <f>4.37+4.04</f>
        <v>8.41</v>
      </c>
      <c r="I725" s="8">
        <f>(2.94*4.37+2.5*4.04)/$H725</f>
        <v>2.7286325802615936</v>
      </c>
      <c r="J725" s="8">
        <f>(3.4*4.37+1.8*4.04)/$H725</f>
        <v>2.6313912009512488</v>
      </c>
      <c r="K725" s="10">
        <f>(54.72*4.37+51*4.04)/$H725</f>
        <v>52.932984542211649</v>
      </c>
      <c r="L725" s="8">
        <f>(0.34*4.37+0.35*4.04)/$H725</f>
        <v>0.34480380499405466</v>
      </c>
      <c r="M725" s="8">
        <f>(0.82*4.37+0.78*4.04)/$H725</f>
        <v>0.80078478002378128</v>
      </c>
    </row>
    <row r="726" spans="1:13" ht="17.25" customHeight="1" x14ac:dyDescent="0.2">
      <c r="A726" s="2" t="s">
        <v>1403</v>
      </c>
      <c r="B726" s="2" t="s">
        <v>1398</v>
      </c>
      <c r="C726" s="2" t="s">
        <v>24</v>
      </c>
      <c r="D726" s="2"/>
      <c r="E726" s="2" t="s">
        <v>26</v>
      </c>
      <c r="F726" s="2" t="s">
        <v>1404</v>
      </c>
      <c r="G726" s="2" t="s">
        <v>40</v>
      </c>
      <c r="H726" s="8">
        <f>10.401+44.867+24.701+23.545+67.313+22.496</f>
        <v>193.32300000000001</v>
      </c>
      <c r="I726" s="10">
        <f>(0.3*10.401+0.3*44.867+0.4*24.701+1.9*23.545+1.3*67.313+0.9*22.496)/$H726</f>
        <v>0.92565085375252809</v>
      </c>
      <c r="J726" s="10">
        <f>(1*10.401+1*44.867+1.1*24.701+7.5*23.545+5.5*67.313+4.5*22.496)/$H726</f>
        <v>3.7785473016661233</v>
      </c>
      <c r="K726" s="12">
        <f>(46*10.401+46*44.867+45*24.701+68*23.545+58*67.313+51*22.496)/$H726</f>
        <v>53.3117270060986</v>
      </c>
      <c r="L726" s="10">
        <f>(4.8*10.401+2.5*44.867+1.8*24.701+0.3*23.545+0.3*67.313+0.3*22.496)/$H726</f>
        <v>1.2443439218303047</v>
      </c>
      <c r="M726" s="8"/>
    </row>
    <row r="727" spans="1:13" ht="17.25" customHeight="1" x14ac:dyDescent="0.2">
      <c r="A727" s="2" t="s">
        <v>1405</v>
      </c>
      <c r="B727" s="2" t="s">
        <v>1406</v>
      </c>
      <c r="C727" s="2" t="s">
        <v>30</v>
      </c>
      <c r="D727" s="2" t="s">
        <v>49</v>
      </c>
      <c r="E727" s="7" t="s">
        <v>16</v>
      </c>
      <c r="F727" s="2" t="s">
        <v>17</v>
      </c>
      <c r="G727" s="2" t="s">
        <v>1407</v>
      </c>
      <c r="H727" s="9">
        <v>20</v>
      </c>
      <c r="I727" s="8">
        <v>1.5</v>
      </c>
      <c r="J727" s="9">
        <v>2</v>
      </c>
      <c r="K727" s="9">
        <v>30</v>
      </c>
      <c r="L727" s="9">
        <v>1</v>
      </c>
      <c r="M727" s="9">
        <v>1</v>
      </c>
    </row>
    <row r="728" spans="1:13" ht="17.25" customHeight="1" x14ac:dyDescent="0.2">
      <c r="A728" s="2" t="s">
        <v>1408</v>
      </c>
      <c r="B728" s="2" t="s">
        <v>1406</v>
      </c>
      <c r="C728" s="2" t="s">
        <v>30</v>
      </c>
      <c r="D728" s="2" t="s">
        <v>49</v>
      </c>
      <c r="E728" s="7" t="s">
        <v>16</v>
      </c>
      <c r="F728" s="2" t="s">
        <v>17</v>
      </c>
      <c r="G728" s="2" t="s">
        <v>1409</v>
      </c>
      <c r="H728" s="8">
        <v>9.3000000000000007</v>
      </c>
      <c r="I728" s="8">
        <v>1.4</v>
      </c>
      <c r="J728" s="8">
        <v>2.2999999999999998</v>
      </c>
      <c r="K728" s="9">
        <v>36</v>
      </c>
      <c r="L728" s="8"/>
      <c r="M728" s="9">
        <v>3</v>
      </c>
    </row>
    <row r="729" spans="1:13" ht="17.25" customHeight="1" x14ac:dyDescent="0.2">
      <c r="A729" s="2" t="s">
        <v>1410</v>
      </c>
      <c r="B729" s="2" t="s">
        <v>1411</v>
      </c>
      <c r="C729" s="2" t="s">
        <v>24</v>
      </c>
      <c r="D729" s="2"/>
      <c r="E729" s="7" t="s">
        <v>16</v>
      </c>
      <c r="F729" s="2" t="s">
        <v>17</v>
      </c>
      <c r="G729" s="2" t="s">
        <v>1412</v>
      </c>
      <c r="H729" s="9">
        <v>46</v>
      </c>
      <c r="I729" s="8"/>
      <c r="J729" s="8">
        <v>0.47</v>
      </c>
      <c r="K729" s="9"/>
      <c r="L729" s="8">
        <v>1.82</v>
      </c>
      <c r="M729" s="8"/>
    </row>
    <row r="730" spans="1:13" ht="17.25" customHeight="1" x14ac:dyDescent="0.2">
      <c r="A730" s="2" t="s">
        <v>1413</v>
      </c>
      <c r="B730" s="2" t="s">
        <v>1411</v>
      </c>
      <c r="C730" s="2" t="s">
        <v>24</v>
      </c>
      <c r="D730" s="2"/>
      <c r="E730" s="7" t="s">
        <v>16</v>
      </c>
      <c r="F730" s="2" t="s">
        <v>17</v>
      </c>
      <c r="G730" s="2" t="s">
        <v>1412</v>
      </c>
      <c r="H730" s="9">
        <v>10</v>
      </c>
      <c r="I730" s="8"/>
      <c r="J730" s="8">
        <v>5.5</v>
      </c>
      <c r="K730" s="9"/>
      <c r="L730" s="8">
        <v>4.4000000000000004</v>
      </c>
      <c r="M730" s="8">
        <v>2.2000000000000002</v>
      </c>
    </row>
    <row r="731" spans="1:13" ht="17.25" customHeight="1" x14ac:dyDescent="0.2">
      <c r="A731" s="2" t="s">
        <v>1414</v>
      </c>
      <c r="B731" s="2" t="s">
        <v>1411</v>
      </c>
      <c r="C731" s="2" t="s">
        <v>24</v>
      </c>
      <c r="D731" s="2"/>
      <c r="E731" s="7" t="s">
        <v>16</v>
      </c>
      <c r="F731" s="2" t="s">
        <v>17</v>
      </c>
      <c r="G731" s="2" t="s">
        <v>1412</v>
      </c>
      <c r="H731" s="8">
        <v>1.3</v>
      </c>
      <c r="I731" s="8">
        <v>0.67</v>
      </c>
      <c r="J731" s="8">
        <v>4.66</v>
      </c>
      <c r="K731" s="9"/>
      <c r="L731" s="8">
        <v>2.63</v>
      </c>
      <c r="M731" s="8">
        <v>1.5</v>
      </c>
    </row>
    <row r="732" spans="1:13" ht="17.25" customHeight="1" x14ac:dyDescent="0.2">
      <c r="A732" s="2" t="s">
        <v>1415</v>
      </c>
      <c r="B732" s="2" t="s">
        <v>1411</v>
      </c>
      <c r="C732" s="2" t="s">
        <v>24</v>
      </c>
      <c r="D732" s="2"/>
      <c r="E732" s="7" t="s">
        <v>16</v>
      </c>
      <c r="F732" s="2" t="s">
        <v>17</v>
      </c>
      <c r="G732" s="2" t="s">
        <v>1412</v>
      </c>
      <c r="H732" s="8">
        <v>3.5</v>
      </c>
      <c r="I732" s="8"/>
      <c r="J732" s="8">
        <v>5.0999999999999996</v>
      </c>
      <c r="K732" s="9"/>
      <c r="L732" s="9">
        <v>3</v>
      </c>
      <c r="M732" s="8">
        <v>4.5</v>
      </c>
    </row>
    <row r="733" spans="1:13" ht="17.25" customHeight="1" x14ac:dyDescent="0.2">
      <c r="A733" s="2" t="s">
        <v>1416</v>
      </c>
      <c r="B733" s="2" t="s">
        <v>1411</v>
      </c>
      <c r="C733" s="2" t="s">
        <v>308</v>
      </c>
      <c r="D733" s="2"/>
      <c r="E733" s="2" t="s">
        <v>26</v>
      </c>
      <c r="F733" s="2" t="s">
        <v>1417</v>
      </c>
      <c r="G733" s="2" t="s">
        <v>1418</v>
      </c>
      <c r="H733" s="8">
        <f>21.931+5.102</f>
        <v>27.033000000000001</v>
      </c>
      <c r="I733" s="8">
        <f>(((1.5*21.931+1.06*5.102)/(21.931+5.102))/1.87)*0.6</f>
        <v>0.45463886384852259</v>
      </c>
      <c r="J733" s="8">
        <f>(((1.5*21.931+1.06*5.102)/(21.931+5.102))/1.87)*0.9</f>
        <v>0.68195829577278388</v>
      </c>
      <c r="K733" s="10">
        <f>(((1.5*21.931+1.06*5.102)/(21.931+5.102))/1.87)*11.7</f>
        <v>8.8654578450461905</v>
      </c>
      <c r="L733" s="8"/>
      <c r="M733" s="8">
        <f>(((1.5*21.931+1.06*5.102)/(21.931+5.102))/1.87)*2.3</f>
        <v>1.7427823114193364</v>
      </c>
    </row>
    <row r="734" spans="1:13" ht="17.25" customHeight="1" x14ac:dyDescent="0.2">
      <c r="A734" s="2" t="s">
        <v>1419</v>
      </c>
      <c r="B734" s="2" t="s">
        <v>1411</v>
      </c>
      <c r="C734" s="2" t="s">
        <v>24</v>
      </c>
      <c r="D734" s="2"/>
      <c r="E734" s="7" t="s">
        <v>16</v>
      </c>
      <c r="F734" s="2" t="s">
        <v>17</v>
      </c>
      <c r="G734" s="2" t="s">
        <v>1412</v>
      </c>
      <c r="H734" s="9">
        <v>10</v>
      </c>
      <c r="I734" s="8"/>
      <c r="J734" s="9">
        <v>5</v>
      </c>
      <c r="K734" s="9"/>
      <c r="L734" s="9">
        <v>3</v>
      </c>
      <c r="M734" s="8"/>
    </row>
    <row r="735" spans="1:13" ht="17.25" customHeight="1" x14ac:dyDescent="0.2">
      <c r="A735" s="2" t="s">
        <v>1420</v>
      </c>
      <c r="B735" s="2" t="s">
        <v>1411</v>
      </c>
      <c r="C735" s="2" t="s">
        <v>24</v>
      </c>
      <c r="D735" s="2"/>
      <c r="E735" s="7" t="s">
        <v>16</v>
      </c>
      <c r="F735" s="2" t="s">
        <v>17</v>
      </c>
      <c r="G735" s="2" t="s">
        <v>1412</v>
      </c>
      <c r="H735" s="9">
        <v>30</v>
      </c>
      <c r="I735" s="8">
        <v>0.1</v>
      </c>
      <c r="J735" s="8">
        <v>1.2</v>
      </c>
      <c r="K735" s="9"/>
      <c r="L735" s="8">
        <v>1.9</v>
      </c>
      <c r="M735" s="8"/>
    </row>
    <row r="736" spans="1:13" ht="17.25" customHeight="1" x14ac:dyDescent="0.2">
      <c r="A736" s="2" t="s">
        <v>1421</v>
      </c>
      <c r="B736" s="2" t="s">
        <v>1411</v>
      </c>
      <c r="C736" s="2" t="s">
        <v>24</v>
      </c>
      <c r="D736" s="2"/>
      <c r="E736" s="7" t="s">
        <v>16</v>
      </c>
      <c r="F736" s="2" t="s">
        <v>17</v>
      </c>
      <c r="G736" s="2" t="s">
        <v>1412</v>
      </c>
      <c r="H736" s="9">
        <v>130</v>
      </c>
      <c r="I736" s="8">
        <v>0.1</v>
      </c>
      <c r="J736" s="8">
        <v>1.5</v>
      </c>
      <c r="K736" s="9"/>
      <c r="L736" s="9">
        <v>1</v>
      </c>
      <c r="M736" s="8"/>
    </row>
    <row r="737" spans="1:13" ht="17.25" customHeight="1" x14ac:dyDescent="0.2">
      <c r="A737" s="2" t="s">
        <v>1422</v>
      </c>
      <c r="B737" s="2" t="s">
        <v>1411</v>
      </c>
      <c r="C737" s="2" t="s">
        <v>24</v>
      </c>
      <c r="D737" s="2"/>
      <c r="E737" s="7" t="s">
        <v>16</v>
      </c>
      <c r="F737" s="2" t="s">
        <v>17</v>
      </c>
      <c r="G737" s="2" t="s">
        <v>1412</v>
      </c>
      <c r="H737" s="9">
        <v>380</v>
      </c>
      <c r="I737" s="8">
        <v>0.06</v>
      </c>
      <c r="J737" s="8">
        <v>0.74</v>
      </c>
      <c r="K737" s="8">
        <v>6.3</v>
      </c>
      <c r="L737" s="8">
        <v>1.57</v>
      </c>
      <c r="M737" s="8">
        <v>0.9</v>
      </c>
    </row>
    <row r="738" spans="1:13" ht="17.25" customHeight="1" x14ac:dyDescent="0.2">
      <c r="A738" s="2" t="s">
        <v>1423</v>
      </c>
      <c r="B738" s="2" t="s">
        <v>1411</v>
      </c>
      <c r="C738" s="2" t="s">
        <v>30</v>
      </c>
      <c r="D738" s="2"/>
      <c r="E738" s="2" t="s">
        <v>26</v>
      </c>
      <c r="F738" s="2" t="s">
        <v>1424</v>
      </c>
      <c r="G738" s="2" t="s">
        <v>77</v>
      </c>
      <c r="H738" s="8">
        <f>0.16+0.12+0.47</f>
        <v>0.75</v>
      </c>
      <c r="I738" s="10">
        <f>(3.9*0.263+2.8*0.408+2.3*1.614)/(0.263+0.408+1.614)</f>
        <v>2.5734354485776803</v>
      </c>
      <c r="J738" s="8"/>
      <c r="K738" s="12">
        <f>(773*0.263+617*0.408+622*1.614)/(0.263+0.408+1.614)</f>
        <v>638.48708971553606</v>
      </c>
      <c r="L738" s="8"/>
      <c r="M738" s="8"/>
    </row>
    <row r="739" spans="1:13" ht="17.25" customHeight="1" x14ac:dyDescent="0.2">
      <c r="A739" s="2" t="s">
        <v>1425</v>
      </c>
      <c r="B739" s="2" t="s">
        <v>1411</v>
      </c>
      <c r="C739" s="2" t="s">
        <v>14</v>
      </c>
      <c r="D739" s="2" t="s">
        <v>38</v>
      </c>
      <c r="E739" s="7" t="s">
        <v>16</v>
      </c>
      <c r="F739" s="2" t="s">
        <v>17</v>
      </c>
      <c r="G739" s="2" t="s">
        <v>1426</v>
      </c>
      <c r="H739" s="9">
        <v>300</v>
      </c>
      <c r="I739" s="10">
        <v>6.5</v>
      </c>
      <c r="J739" s="8">
        <v>1.4</v>
      </c>
      <c r="K739" s="12"/>
      <c r="L739" s="8"/>
      <c r="M739" s="8"/>
    </row>
    <row r="740" spans="1:13" ht="17.25" customHeight="1" x14ac:dyDescent="0.2">
      <c r="A740" s="2" t="s">
        <v>1427</v>
      </c>
      <c r="B740" s="2" t="s">
        <v>1411</v>
      </c>
      <c r="C740" s="2" t="s">
        <v>132</v>
      </c>
      <c r="D740" s="2"/>
      <c r="E740" s="7" t="s">
        <v>16</v>
      </c>
      <c r="F740" s="2" t="s">
        <v>17</v>
      </c>
      <c r="G740" s="2" t="s">
        <v>1412</v>
      </c>
      <c r="H740" s="9">
        <v>160</v>
      </c>
      <c r="I740" s="8"/>
      <c r="J740" s="8">
        <v>0.08</v>
      </c>
      <c r="K740" s="9"/>
      <c r="L740" s="8">
        <v>0.13</v>
      </c>
      <c r="M740" s="8"/>
    </row>
    <row r="741" spans="1:13" ht="17.25" customHeight="1" x14ac:dyDescent="0.2">
      <c r="A741" s="2" t="s">
        <v>1428</v>
      </c>
      <c r="B741" s="2" t="s">
        <v>1411</v>
      </c>
      <c r="C741" s="2" t="s">
        <v>24</v>
      </c>
      <c r="D741" s="2"/>
      <c r="E741" s="7" t="s">
        <v>16</v>
      </c>
      <c r="F741" s="2" t="s">
        <v>17</v>
      </c>
      <c r="G741" s="2" t="s">
        <v>1412</v>
      </c>
      <c r="H741" s="9">
        <v>1</v>
      </c>
      <c r="I741" s="8"/>
      <c r="J741" s="8">
        <v>0.2</v>
      </c>
      <c r="K741" s="8">
        <v>5.0999999999999996</v>
      </c>
      <c r="L741" s="8">
        <v>6.4</v>
      </c>
      <c r="M741" s="8">
        <v>1.4</v>
      </c>
    </row>
    <row r="742" spans="1:13" ht="17.25" customHeight="1" x14ac:dyDescent="0.2">
      <c r="A742" s="2" t="s">
        <v>1429</v>
      </c>
      <c r="B742" s="2" t="s">
        <v>1411</v>
      </c>
      <c r="C742" s="2" t="s">
        <v>14</v>
      </c>
      <c r="D742" s="2" t="s">
        <v>38</v>
      </c>
      <c r="E742" s="7" t="s">
        <v>16</v>
      </c>
      <c r="F742" s="2" t="s">
        <v>1430</v>
      </c>
      <c r="G742" s="2" t="s">
        <v>1431</v>
      </c>
      <c r="H742" s="12">
        <f>334+185</f>
        <v>519</v>
      </c>
      <c r="I742" s="8">
        <f>100*(2.01+1.35)/$H742</f>
        <v>0.64739884393063585</v>
      </c>
      <c r="J742" s="8">
        <f>100*(13.34+7.86)/$H742</f>
        <v>4.0847784200385355</v>
      </c>
      <c r="K742" s="9">
        <v>28</v>
      </c>
      <c r="L742" s="8"/>
      <c r="M742" s="8"/>
    </row>
    <row r="743" spans="1:13" ht="17.25" customHeight="1" x14ac:dyDescent="0.2">
      <c r="A743" s="2" t="s">
        <v>1432</v>
      </c>
      <c r="B743" s="2" t="s">
        <v>1411</v>
      </c>
      <c r="C743" s="2" t="s">
        <v>308</v>
      </c>
      <c r="D743" s="2"/>
      <c r="E743" s="7" t="s">
        <v>16</v>
      </c>
      <c r="F743" s="2" t="s">
        <v>1433</v>
      </c>
      <c r="G743" s="2" t="s">
        <v>828</v>
      </c>
      <c r="H743" s="10">
        <v>31</v>
      </c>
      <c r="I743" s="8"/>
      <c r="J743" s="8">
        <v>0.9</v>
      </c>
      <c r="K743" s="9">
        <v>11</v>
      </c>
      <c r="L743" s="8">
        <v>1.6</v>
      </c>
      <c r="M743" s="8">
        <v>0.8</v>
      </c>
    </row>
    <row r="744" spans="1:13" ht="17.25" customHeight="1" x14ac:dyDescent="0.2">
      <c r="A744" s="2" t="s">
        <v>1434</v>
      </c>
      <c r="B744" s="2" t="s">
        <v>1411</v>
      </c>
      <c r="C744" s="2" t="s">
        <v>24</v>
      </c>
      <c r="D744" s="2"/>
      <c r="E744" s="7" t="s">
        <v>16</v>
      </c>
      <c r="F744" s="2" t="s">
        <v>17</v>
      </c>
      <c r="G744" s="2" t="s">
        <v>1412</v>
      </c>
      <c r="H744" s="8">
        <v>0.5</v>
      </c>
      <c r="I744" s="8"/>
      <c r="J744" s="8">
        <v>0.85</v>
      </c>
      <c r="K744" s="8">
        <v>14.8</v>
      </c>
      <c r="L744" s="8">
        <v>2.1</v>
      </c>
      <c r="M744" s="8">
        <v>1.6</v>
      </c>
    </row>
    <row r="745" spans="1:13" ht="17.25" customHeight="1" x14ac:dyDescent="0.2">
      <c r="A745" s="2" t="s">
        <v>1435</v>
      </c>
      <c r="B745" s="2" t="s">
        <v>1411</v>
      </c>
      <c r="C745" s="2" t="s">
        <v>24</v>
      </c>
      <c r="D745" s="2"/>
      <c r="E745" s="7" t="s">
        <v>16</v>
      </c>
      <c r="F745" s="2" t="s">
        <v>17</v>
      </c>
      <c r="G745" s="2" t="s">
        <v>1436</v>
      </c>
      <c r="H745" s="8">
        <v>24.5</v>
      </c>
      <c r="I745" s="8">
        <v>2.0099999999999998</v>
      </c>
      <c r="J745" s="8">
        <v>9.8000000000000007</v>
      </c>
      <c r="K745" s="10">
        <f>43.5*31.1/H745</f>
        <v>55.218367346938784</v>
      </c>
      <c r="L745" s="8"/>
      <c r="M745" s="8"/>
    </row>
    <row r="746" spans="1:13" ht="17.25" customHeight="1" x14ac:dyDescent="0.2">
      <c r="A746" s="2" t="s">
        <v>1437</v>
      </c>
      <c r="B746" s="2" t="s">
        <v>1411</v>
      </c>
      <c r="C746" s="2" t="s">
        <v>24</v>
      </c>
      <c r="D746" s="2"/>
      <c r="E746" s="7" t="s">
        <v>16</v>
      </c>
      <c r="F746" s="2" t="s">
        <v>17</v>
      </c>
      <c r="G746" s="2" t="s">
        <v>1412</v>
      </c>
      <c r="H746" s="8">
        <v>14.1</v>
      </c>
      <c r="I746" s="8"/>
      <c r="J746" s="8">
        <v>0.73</v>
      </c>
      <c r="K746" s="9"/>
      <c r="L746" s="8">
        <v>2.16</v>
      </c>
      <c r="M746" s="8"/>
    </row>
    <row r="747" spans="1:13" ht="17.25" customHeight="1" x14ac:dyDescent="0.2">
      <c r="A747" s="2" t="s">
        <v>1438</v>
      </c>
      <c r="B747" s="2" t="s">
        <v>1411</v>
      </c>
      <c r="C747" s="2" t="s">
        <v>24</v>
      </c>
      <c r="D747" s="2"/>
      <c r="E747" s="7" t="s">
        <v>16</v>
      </c>
      <c r="F747" s="2" t="s">
        <v>17</v>
      </c>
      <c r="G747" s="2" t="s">
        <v>1412</v>
      </c>
      <c r="H747" s="9">
        <v>6</v>
      </c>
      <c r="I747" s="8">
        <v>0.6</v>
      </c>
      <c r="J747" s="8">
        <v>1.2</v>
      </c>
      <c r="K747" s="8">
        <v>13.7</v>
      </c>
      <c r="L747" s="8">
        <v>2.8</v>
      </c>
      <c r="M747" s="8"/>
    </row>
    <row r="748" spans="1:13" ht="17.25" customHeight="1" x14ac:dyDescent="0.2">
      <c r="A748" s="2" t="s">
        <v>1439</v>
      </c>
      <c r="B748" s="2" t="s">
        <v>1411</v>
      </c>
      <c r="C748" s="2" t="s">
        <v>14</v>
      </c>
      <c r="D748" s="2"/>
      <c r="E748" s="7" t="s">
        <v>16</v>
      </c>
      <c r="F748" s="2" t="s">
        <v>17</v>
      </c>
      <c r="G748" s="2" t="s">
        <v>430</v>
      </c>
      <c r="H748" s="9">
        <v>80</v>
      </c>
      <c r="I748" s="8"/>
      <c r="J748" s="8">
        <v>1.9</v>
      </c>
      <c r="K748" s="9"/>
      <c r="L748" s="8">
        <v>0.7</v>
      </c>
      <c r="M748" s="8"/>
    </row>
    <row r="749" spans="1:13" ht="17.25" customHeight="1" x14ac:dyDescent="0.2">
      <c r="A749" s="2" t="s">
        <v>1440</v>
      </c>
      <c r="B749" s="2" t="s">
        <v>1411</v>
      </c>
      <c r="C749" s="2" t="s">
        <v>24</v>
      </c>
      <c r="D749" s="2"/>
      <c r="E749" s="7" t="s">
        <v>16</v>
      </c>
      <c r="F749" s="2" t="s">
        <v>17</v>
      </c>
      <c r="G749" s="2" t="s">
        <v>1412</v>
      </c>
      <c r="H749" s="9">
        <v>3</v>
      </c>
      <c r="I749" s="8"/>
      <c r="J749" s="8">
        <v>1.7</v>
      </c>
      <c r="K749" s="9"/>
      <c r="L749" s="8">
        <v>1.55</v>
      </c>
      <c r="M749" s="8"/>
    </row>
    <row r="750" spans="1:13" ht="17.25" customHeight="1" x14ac:dyDescent="0.2">
      <c r="A750" s="2" t="s">
        <v>1441</v>
      </c>
      <c r="B750" s="2" t="s">
        <v>1411</v>
      </c>
      <c r="C750" s="2" t="s">
        <v>132</v>
      </c>
      <c r="D750" s="2"/>
      <c r="E750" s="2" t="s">
        <v>26</v>
      </c>
      <c r="F750" s="2" t="s">
        <v>1430</v>
      </c>
      <c r="G750" s="2" t="s">
        <v>1431</v>
      </c>
      <c r="H750" s="8">
        <f>(0.1659+0.214)/(J750/100)</f>
        <v>5.0758618385419974</v>
      </c>
      <c r="I750" s="8"/>
      <c r="J750" s="8">
        <f>(7*0.1659+7.86*0.214)/(0.1659+0.214)</f>
        <v>7.4844432745459324</v>
      </c>
      <c r="K750" s="10">
        <f>(0*0.1659+266.3*0.214)/(0.1659+0.214)</f>
        <v>150.00842326928139</v>
      </c>
      <c r="L750" s="8"/>
      <c r="M750" s="10">
        <f>(0*0.1659+1.4*0.214)/(0.1659+0.214)</f>
        <v>0.78862858647012357</v>
      </c>
    </row>
    <row r="751" spans="1:13" ht="17.25" customHeight="1" x14ac:dyDescent="0.2">
      <c r="A751" s="2" t="s">
        <v>1442</v>
      </c>
      <c r="B751" s="2" t="s">
        <v>1411</v>
      </c>
      <c r="C751" s="2" t="s">
        <v>1443</v>
      </c>
      <c r="D751" s="2"/>
      <c r="E751" s="2" t="s">
        <v>26</v>
      </c>
      <c r="F751" s="2" t="s">
        <v>1444</v>
      </c>
      <c r="G751" s="2" t="s">
        <v>82</v>
      </c>
      <c r="H751" s="11">
        <v>7.3909390000000004</v>
      </c>
      <c r="I751" s="8">
        <v>2.2000000000000002</v>
      </c>
      <c r="J751" s="8">
        <v>1.1000000000000001</v>
      </c>
      <c r="K751" s="8">
        <v>66.5</v>
      </c>
      <c r="L751" s="8"/>
      <c r="M751" s="10">
        <f>7.6-(2.2*0.510496+1.1*0.430005+66.5*0.01723)</f>
        <v>4.8581082999999996</v>
      </c>
    </row>
    <row r="752" spans="1:13" ht="17.25" customHeight="1" x14ac:dyDescent="0.2">
      <c r="A752" s="2" t="s">
        <v>1445</v>
      </c>
      <c r="B752" s="2" t="s">
        <v>1411</v>
      </c>
      <c r="C752" s="2" t="s">
        <v>132</v>
      </c>
      <c r="D752" s="2"/>
      <c r="E752" s="7" t="s">
        <v>16</v>
      </c>
      <c r="F752" s="2" t="s">
        <v>1446</v>
      </c>
      <c r="G752" s="2" t="s">
        <v>1436</v>
      </c>
      <c r="H752" s="9">
        <v>14</v>
      </c>
      <c r="I752" s="8">
        <v>1.79</v>
      </c>
      <c r="J752" s="8">
        <v>1.55</v>
      </c>
      <c r="K752" s="10">
        <f>30.4*31.1/H752</f>
        <v>67.531428571428577</v>
      </c>
      <c r="L752" s="8"/>
      <c r="M752" s="8"/>
    </row>
    <row r="753" spans="1:13" ht="17.25" customHeight="1" x14ac:dyDescent="0.2">
      <c r="A753" s="2" t="s">
        <v>1447</v>
      </c>
      <c r="B753" s="2" t="s">
        <v>1411</v>
      </c>
      <c r="C753" s="2" t="s">
        <v>14</v>
      </c>
      <c r="D753" s="2" t="s">
        <v>38</v>
      </c>
      <c r="E753" s="2" t="s">
        <v>26</v>
      </c>
      <c r="F753" s="2" t="s">
        <v>1430</v>
      </c>
      <c r="G753" s="2" t="s">
        <v>1431</v>
      </c>
      <c r="H753" s="8">
        <f>125.271+9.787</f>
        <v>135.05799999999999</v>
      </c>
      <c r="I753" s="8">
        <f>(1.17*125.271+1.02*9.787)/$H753</f>
        <v>1.1591302255327343</v>
      </c>
      <c r="J753" s="8">
        <f>(6.16*125.271+5.63*9.787)/$H753</f>
        <v>6.1215934635489946</v>
      </c>
      <c r="K753" s="10">
        <f>(37.6*125.271+25.5*9.787)/$H753</f>
        <v>36.723171526307226</v>
      </c>
      <c r="L753" s="8"/>
      <c r="M753" s="8"/>
    </row>
    <row r="754" spans="1:13" ht="17.25" customHeight="1" x14ac:dyDescent="0.2">
      <c r="A754" s="2" t="s">
        <v>1448</v>
      </c>
      <c r="B754" s="2" t="s">
        <v>1411</v>
      </c>
      <c r="C754" s="2" t="s">
        <v>14</v>
      </c>
      <c r="D754" s="2" t="s">
        <v>15</v>
      </c>
      <c r="E754" s="7" t="s">
        <v>16</v>
      </c>
      <c r="F754" s="2" t="s">
        <v>1449</v>
      </c>
      <c r="G754" s="2" t="s">
        <v>841</v>
      </c>
      <c r="H754" s="8">
        <v>21.4</v>
      </c>
      <c r="I754" s="8">
        <v>2.1</v>
      </c>
      <c r="J754" s="8">
        <v>9.1999999999999993</v>
      </c>
      <c r="K754" s="9">
        <v>31</v>
      </c>
      <c r="L754" s="8"/>
      <c r="M754" s="8"/>
    </row>
    <row r="755" spans="1:13" ht="17.25" customHeight="1" x14ac:dyDescent="0.2">
      <c r="A755" s="2" t="s">
        <v>1450</v>
      </c>
      <c r="B755" s="2" t="s">
        <v>1411</v>
      </c>
      <c r="C755" s="2" t="s">
        <v>162</v>
      </c>
      <c r="D755" s="2" t="s">
        <v>53</v>
      </c>
      <c r="E755" s="2" t="s">
        <v>26</v>
      </c>
      <c r="F755" s="2" t="s">
        <v>1424</v>
      </c>
      <c r="G755" s="2" t="s">
        <v>77</v>
      </c>
      <c r="H755" s="8">
        <f>1.096+0.078</f>
        <v>1.1740000000000002</v>
      </c>
      <c r="I755" s="10">
        <f>(2.3*1.096+3.7*0.078)/$H755</f>
        <v>2.3930153321976149</v>
      </c>
      <c r="J755" s="10">
        <f>(2.3*1.096+3.7*0.078)/$H755</f>
        <v>2.3930153321976149</v>
      </c>
      <c r="K755" s="12">
        <f>(375*1.096+206*0.078)/$H755</f>
        <v>363.77172061328787</v>
      </c>
      <c r="L755" s="8">
        <f>(0.34*1.096+0.46*0.078)/$H755</f>
        <v>0.34797274275979562</v>
      </c>
      <c r="M755" s="8"/>
    </row>
    <row r="756" spans="1:13" ht="17.25" customHeight="1" x14ac:dyDescent="0.2">
      <c r="A756" s="2" t="s">
        <v>1451</v>
      </c>
      <c r="B756" s="2" t="s">
        <v>1411</v>
      </c>
      <c r="C756" s="2" t="s">
        <v>24</v>
      </c>
      <c r="D756" s="2"/>
      <c r="E756" s="7" t="s">
        <v>16</v>
      </c>
      <c r="F756" s="2" t="s">
        <v>17</v>
      </c>
      <c r="G756" s="2" t="s">
        <v>1412</v>
      </c>
      <c r="H756" s="8">
        <v>80.8</v>
      </c>
      <c r="I756" s="8">
        <v>0.13</v>
      </c>
      <c r="J756" s="8">
        <v>1.75</v>
      </c>
      <c r="K756" s="9"/>
      <c r="L756" s="8">
        <v>1.73</v>
      </c>
      <c r="M756" s="8"/>
    </row>
    <row r="757" spans="1:13" ht="17.25" customHeight="1" x14ac:dyDescent="0.2">
      <c r="A757" s="2" t="s">
        <v>1452</v>
      </c>
      <c r="B757" s="2" t="s">
        <v>1411</v>
      </c>
      <c r="C757" s="2" t="s">
        <v>24</v>
      </c>
      <c r="D757" s="2"/>
      <c r="E757" s="7" t="s">
        <v>16</v>
      </c>
      <c r="F757" s="2" t="s">
        <v>17</v>
      </c>
      <c r="G757" s="2" t="s">
        <v>1412</v>
      </c>
      <c r="H757" s="8">
        <v>18.2</v>
      </c>
      <c r="I757" s="8"/>
      <c r="J757" s="8">
        <v>0.86</v>
      </c>
      <c r="K757" s="9"/>
      <c r="L757" s="8">
        <v>2.94</v>
      </c>
      <c r="M757" s="8"/>
    </row>
    <row r="758" spans="1:13" ht="17.25" customHeight="1" x14ac:dyDescent="0.2">
      <c r="A758" s="2" t="s">
        <v>1453</v>
      </c>
      <c r="B758" s="2" t="s">
        <v>1411</v>
      </c>
      <c r="C758" s="2" t="s">
        <v>24</v>
      </c>
      <c r="D758" s="2"/>
      <c r="E758" s="7" t="s">
        <v>16</v>
      </c>
      <c r="F758" s="2" t="s">
        <v>17</v>
      </c>
      <c r="G758" s="2" t="s">
        <v>1436</v>
      </c>
      <c r="H758" s="9">
        <v>25</v>
      </c>
      <c r="I758" s="8">
        <v>0.13</v>
      </c>
      <c r="J758" s="8">
        <v>2.42</v>
      </c>
      <c r="K758" s="10">
        <f>7*31.1/H758</f>
        <v>8.7080000000000002</v>
      </c>
      <c r="L758" s="8"/>
      <c r="M758" s="8"/>
    </row>
    <row r="759" spans="1:13" ht="17.25" customHeight="1" x14ac:dyDescent="0.2">
      <c r="A759" s="2" t="s">
        <v>1454</v>
      </c>
      <c r="B759" s="2" t="s">
        <v>1411</v>
      </c>
      <c r="C759" s="2" t="s">
        <v>14</v>
      </c>
      <c r="D759" s="2" t="s">
        <v>15</v>
      </c>
      <c r="E759" s="2" t="s">
        <v>26</v>
      </c>
      <c r="F759" s="2" t="s">
        <v>1455</v>
      </c>
      <c r="G759" s="2" t="s">
        <v>1045</v>
      </c>
      <c r="H759" s="8">
        <v>18.3</v>
      </c>
      <c r="I759" s="10">
        <f>100*0.53/H759</f>
        <v>2.8961748633879782</v>
      </c>
      <c r="J759" s="10">
        <f>100*1.9/H759</f>
        <v>10.382513661202186</v>
      </c>
      <c r="K759" s="10"/>
      <c r="L759" s="8"/>
      <c r="M759" s="8"/>
    </row>
    <row r="760" spans="1:13" ht="17.25" customHeight="1" x14ac:dyDescent="0.2">
      <c r="A760" s="2" t="s">
        <v>1456</v>
      </c>
      <c r="B760" s="2" t="s">
        <v>1411</v>
      </c>
      <c r="C760" s="2" t="s">
        <v>24</v>
      </c>
      <c r="D760" s="2"/>
      <c r="E760" s="7" t="s">
        <v>16</v>
      </c>
      <c r="F760" s="2" t="s">
        <v>17</v>
      </c>
      <c r="G760" s="2" t="s">
        <v>1412</v>
      </c>
      <c r="H760" s="9">
        <v>110</v>
      </c>
      <c r="I760" s="8">
        <v>0.04</v>
      </c>
      <c r="J760" s="8">
        <v>0.4</v>
      </c>
      <c r="K760" s="9">
        <v>16</v>
      </c>
      <c r="L760" s="8">
        <v>1.6</v>
      </c>
      <c r="M760" s="8">
        <v>0.6</v>
      </c>
    </row>
    <row r="761" spans="1:13" ht="17.25" customHeight="1" x14ac:dyDescent="0.2">
      <c r="A761" s="2" t="s">
        <v>1457</v>
      </c>
      <c r="B761" s="2" t="s">
        <v>1411</v>
      </c>
      <c r="C761" s="2" t="s">
        <v>24</v>
      </c>
      <c r="D761" s="2"/>
      <c r="E761" s="7" t="s">
        <v>16</v>
      </c>
      <c r="F761" s="2" t="s">
        <v>17</v>
      </c>
      <c r="G761" s="2" t="s">
        <v>1412</v>
      </c>
      <c r="H761" s="8">
        <v>9.1</v>
      </c>
      <c r="I761" s="8"/>
      <c r="J761" s="8">
        <v>4.24</v>
      </c>
      <c r="K761" s="9"/>
      <c r="L761" s="8">
        <v>1.58</v>
      </c>
      <c r="M761" s="8"/>
    </row>
    <row r="762" spans="1:13" ht="17.25" customHeight="1" x14ac:dyDescent="0.2">
      <c r="A762" s="2" t="s">
        <v>1458</v>
      </c>
      <c r="B762" s="2" t="s">
        <v>1411</v>
      </c>
      <c r="C762" s="2" t="s">
        <v>24</v>
      </c>
      <c r="D762" s="2"/>
      <c r="E762" s="2" t="s">
        <v>26</v>
      </c>
      <c r="F762" s="2" t="s">
        <v>849</v>
      </c>
      <c r="G762" s="2" t="s">
        <v>1380</v>
      </c>
      <c r="H762" s="8">
        <v>12.92</v>
      </c>
      <c r="I762" s="10">
        <f>100*0.2/$H762</f>
        <v>1.5479876160990713</v>
      </c>
      <c r="J762" s="10">
        <f>100*1.29/$H762</f>
        <v>9.98452012383901</v>
      </c>
      <c r="K762" s="8">
        <v>52.24</v>
      </c>
      <c r="L762" s="8">
        <f>100*0.0823/$H762</f>
        <v>0.63699690402476783</v>
      </c>
      <c r="M762" s="8">
        <v>1.17</v>
      </c>
    </row>
    <row r="763" spans="1:13" ht="17.25" customHeight="1" x14ac:dyDescent="0.2">
      <c r="A763" s="2" t="s">
        <v>1459</v>
      </c>
      <c r="B763" s="2" t="s">
        <v>1411</v>
      </c>
      <c r="C763" s="2" t="s">
        <v>24</v>
      </c>
      <c r="D763" s="2"/>
      <c r="E763" s="7" t="s">
        <v>16</v>
      </c>
      <c r="F763" s="2" t="s">
        <v>17</v>
      </c>
      <c r="G763" s="2" t="s">
        <v>1412</v>
      </c>
      <c r="H763" s="9">
        <v>113</v>
      </c>
      <c r="I763" s="8"/>
      <c r="J763" s="8">
        <v>3.73</v>
      </c>
      <c r="K763" s="9">
        <v>18</v>
      </c>
      <c r="L763" s="8">
        <v>1.08</v>
      </c>
      <c r="M763" s="8">
        <v>1.26</v>
      </c>
    </row>
    <row r="764" spans="1:13" ht="17.25" customHeight="1" x14ac:dyDescent="0.2">
      <c r="A764" s="2" t="s">
        <v>1460</v>
      </c>
      <c r="B764" s="2" t="s">
        <v>1411</v>
      </c>
      <c r="C764" s="2" t="s">
        <v>14</v>
      </c>
      <c r="D764" s="2" t="s">
        <v>15</v>
      </c>
      <c r="E764" s="7" t="s">
        <v>16</v>
      </c>
      <c r="F764" s="2" t="s">
        <v>17</v>
      </c>
      <c r="G764" s="2" t="s">
        <v>20</v>
      </c>
      <c r="H764" s="9">
        <v>23</v>
      </c>
      <c r="I764" s="8">
        <v>2.85</v>
      </c>
      <c r="J764" s="8">
        <v>6.74</v>
      </c>
      <c r="K764" s="9"/>
      <c r="L764" s="8"/>
      <c r="M764" s="8"/>
    </row>
    <row r="765" spans="1:13" ht="17.25" customHeight="1" x14ac:dyDescent="0.2">
      <c r="A765" s="2" t="s">
        <v>1461</v>
      </c>
      <c r="B765" s="2" t="s">
        <v>1411</v>
      </c>
      <c r="C765" s="2" t="s">
        <v>24</v>
      </c>
      <c r="D765" s="2"/>
      <c r="E765" s="7" t="s">
        <v>16</v>
      </c>
      <c r="F765" s="2" t="s">
        <v>17</v>
      </c>
      <c r="G765" s="2" t="s">
        <v>1412</v>
      </c>
      <c r="H765" s="9">
        <f>27+42</f>
        <v>69</v>
      </c>
      <c r="I765" s="8">
        <f>(0.1*27+0*42)/$H765</f>
        <v>3.9130434782608699E-2</v>
      </c>
      <c r="J765" s="10">
        <f>(0.23*27+4.55*42)/$H765</f>
        <v>2.8595652173913044</v>
      </c>
      <c r="K765" s="9">
        <v>35</v>
      </c>
      <c r="L765" s="10">
        <f>(2.13*27+0.91*42)/$H765</f>
        <v>1.3873913043478259</v>
      </c>
      <c r="M765" s="8">
        <v>1.8</v>
      </c>
    </row>
    <row r="766" spans="1:13" ht="17.25" customHeight="1" x14ac:dyDescent="0.2">
      <c r="A766" s="2" t="s">
        <v>1462</v>
      </c>
      <c r="B766" s="2" t="s">
        <v>1411</v>
      </c>
      <c r="C766" s="2" t="s">
        <v>24</v>
      </c>
      <c r="D766" s="2"/>
      <c r="E766" s="7" t="s">
        <v>16</v>
      </c>
      <c r="F766" s="2" t="s">
        <v>17</v>
      </c>
      <c r="G766" s="2" t="s">
        <v>1412</v>
      </c>
      <c r="H766" s="8">
        <v>2.2999999999999998</v>
      </c>
      <c r="I766" s="8"/>
      <c r="J766" s="8">
        <v>5.56</v>
      </c>
      <c r="K766" s="8">
        <v>33.5</v>
      </c>
      <c r="L766" s="8">
        <v>2.56</v>
      </c>
      <c r="M766" s="8">
        <v>3.3</v>
      </c>
    </row>
    <row r="767" spans="1:13" ht="17.25" customHeight="1" x14ac:dyDescent="0.2">
      <c r="A767" s="2" t="s">
        <v>1463</v>
      </c>
      <c r="B767" s="2" t="s">
        <v>1411</v>
      </c>
      <c r="C767" s="2" t="s">
        <v>24</v>
      </c>
      <c r="D767" s="2"/>
      <c r="E767" s="7" t="s">
        <v>16</v>
      </c>
      <c r="F767" s="2" t="s">
        <v>17</v>
      </c>
      <c r="G767" s="2" t="s">
        <v>1412</v>
      </c>
      <c r="H767" s="9">
        <v>106</v>
      </c>
      <c r="I767" s="8"/>
      <c r="J767" s="9">
        <v>1</v>
      </c>
      <c r="K767" s="9"/>
      <c r="L767" s="8">
        <v>1.5</v>
      </c>
      <c r="M767" s="8"/>
    </row>
    <row r="768" spans="1:13" ht="17.25" customHeight="1" x14ac:dyDescent="0.2">
      <c r="A768" s="2" t="s">
        <v>1464</v>
      </c>
      <c r="B768" s="2" t="s">
        <v>1411</v>
      </c>
      <c r="C768" s="2" t="s">
        <v>24</v>
      </c>
      <c r="D768" s="2"/>
      <c r="E768" s="7" t="s">
        <v>16</v>
      </c>
      <c r="F768" s="2" t="s">
        <v>17</v>
      </c>
      <c r="G768" s="2" t="s">
        <v>1412</v>
      </c>
      <c r="H768" s="8">
        <v>12.5</v>
      </c>
      <c r="I768" s="8"/>
      <c r="J768" s="8">
        <v>0.87</v>
      </c>
      <c r="K768" s="9">
        <v>7</v>
      </c>
      <c r="L768" s="8">
        <v>1.21</v>
      </c>
      <c r="M768" s="8">
        <v>0.1</v>
      </c>
    </row>
    <row r="769" spans="1:13" ht="17.25" customHeight="1" x14ac:dyDescent="0.2">
      <c r="A769" s="2" t="s">
        <v>1465</v>
      </c>
      <c r="B769" s="2" t="s">
        <v>1466</v>
      </c>
      <c r="C769" s="2" t="s">
        <v>24</v>
      </c>
      <c r="D769" s="2"/>
      <c r="E769" s="2" t="s">
        <v>26</v>
      </c>
      <c r="F769" s="2" t="s">
        <v>1467</v>
      </c>
      <c r="G769" s="2" t="s">
        <v>1468</v>
      </c>
      <c r="H769" s="8">
        <f>9.433+0.603</f>
        <v>10.036</v>
      </c>
      <c r="I769" s="8"/>
      <c r="J769" s="8">
        <f>(4.23*9.433+7.42*0.603)/$H769</f>
        <v>4.4216669988043051</v>
      </c>
      <c r="K769" s="10">
        <f>(31.24*9.433+56.2*0.603)/$H769</f>
        <v>32.739689119170983</v>
      </c>
      <c r="L769" s="8">
        <f>(1.21*9.433+1*0.603)/$H769</f>
        <v>1.1973824232762056</v>
      </c>
      <c r="M769" s="8">
        <f>(0.97*9.433+1.18*0.603)/$H769</f>
        <v>0.98261757672379435</v>
      </c>
    </row>
    <row r="770" spans="1:13" ht="17.25" customHeight="1" x14ac:dyDescent="0.2">
      <c r="A770" s="2" t="s">
        <v>1469</v>
      </c>
      <c r="B770" s="2" t="s">
        <v>1466</v>
      </c>
      <c r="C770" s="2" t="s">
        <v>14</v>
      </c>
      <c r="D770" s="2" t="s">
        <v>15</v>
      </c>
      <c r="E770" s="7" t="s">
        <v>16</v>
      </c>
      <c r="F770" s="2" t="s">
        <v>17</v>
      </c>
      <c r="G770" s="2" t="s">
        <v>20</v>
      </c>
      <c r="H770" s="8">
        <v>1.2</v>
      </c>
      <c r="I770" s="8">
        <v>1.4</v>
      </c>
      <c r="J770" s="8">
        <v>5.6</v>
      </c>
      <c r="K770" s="10"/>
      <c r="L770" s="8"/>
      <c r="M770" s="8"/>
    </row>
    <row r="771" spans="1:13" ht="17.25" customHeight="1" x14ac:dyDescent="0.2">
      <c r="A771" s="2" t="s">
        <v>1470</v>
      </c>
      <c r="B771" s="2" t="s">
        <v>1466</v>
      </c>
      <c r="C771" s="2" t="s">
        <v>24</v>
      </c>
      <c r="D771" s="2"/>
      <c r="E771" s="2" t="s">
        <v>26</v>
      </c>
      <c r="F771" s="2" t="s">
        <v>1471</v>
      </c>
      <c r="G771" s="2" t="s">
        <v>1472</v>
      </c>
      <c r="H771" s="8">
        <f>0.9+1.8+3.7+10.9</f>
        <v>17.3</v>
      </c>
      <c r="I771" s="8"/>
      <c r="J771" s="10">
        <f>(1.4*0.9+1.4*1.8+1.2*3.7+2.9*10.9)/$H771</f>
        <v>2.3023121387283236</v>
      </c>
      <c r="K771" s="12">
        <f>(31*0.9+30*1.8+26*3.7+24*10.9)/$H771</f>
        <v>25.416184971098268</v>
      </c>
      <c r="L771" s="10">
        <f>(1.9*0.9+1.8*1.8+1.7*3.7+0.4*10.9)/$H771</f>
        <v>0.90173410404624277</v>
      </c>
      <c r="M771" s="10">
        <f>(0.5*0.9+0.5*1.8+0.4*3.7+0.3*10.9)/$H771</f>
        <v>0.35260115606936415</v>
      </c>
    </row>
    <row r="772" spans="1:13" ht="17.25" customHeight="1" x14ac:dyDescent="0.2">
      <c r="A772" s="2" t="s">
        <v>1473</v>
      </c>
      <c r="B772" s="2" t="s">
        <v>1466</v>
      </c>
      <c r="C772" s="2" t="s">
        <v>24</v>
      </c>
      <c r="D772" s="2"/>
      <c r="E772" s="2" t="s">
        <v>26</v>
      </c>
      <c r="F772" s="2" t="s">
        <v>1474</v>
      </c>
      <c r="G772" s="2" t="s">
        <v>82</v>
      </c>
      <c r="H772" s="8">
        <f>25.32+4.32</f>
        <v>29.64</v>
      </c>
      <c r="I772" s="8"/>
      <c r="J772" s="8">
        <f>(4.03*25.32+2.9*4.32)/$H772</f>
        <v>3.8653036437246966</v>
      </c>
      <c r="K772" s="9"/>
      <c r="L772" s="8">
        <f>(0.17*25.32+0.03*4.32)/$H772</f>
        <v>0.14959514170040486</v>
      </c>
      <c r="M772" s="8"/>
    </row>
    <row r="773" spans="1:13" ht="17.25" customHeight="1" x14ac:dyDescent="0.2">
      <c r="A773" s="2" t="s">
        <v>1475</v>
      </c>
      <c r="B773" s="2" t="s">
        <v>1476</v>
      </c>
      <c r="C773" s="2" t="s">
        <v>24</v>
      </c>
      <c r="D773" s="2"/>
      <c r="E773" s="7" t="s">
        <v>16</v>
      </c>
      <c r="F773" s="2" t="s">
        <v>1477</v>
      </c>
      <c r="G773" s="2" t="s">
        <v>1478</v>
      </c>
      <c r="H773" s="8">
        <v>7.7</v>
      </c>
      <c r="I773" s="10">
        <v>1</v>
      </c>
      <c r="J773" s="8">
        <v>2.6</v>
      </c>
      <c r="K773" s="9"/>
      <c r="L773" s="8">
        <v>1.2</v>
      </c>
      <c r="M773" s="8"/>
    </row>
    <row r="774" spans="1:13" ht="17.25" customHeight="1" x14ac:dyDescent="0.2">
      <c r="A774" s="2" t="s">
        <v>1479</v>
      </c>
      <c r="B774" s="2" t="s">
        <v>1476</v>
      </c>
      <c r="C774" s="2" t="s">
        <v>30</v>
      </c>
      <c r="D774" s="2"/>
      <c r="E774" s="7" t="s">
        <v>16</v>
      </c>
      <c r="F774" s="2" t="s">
        <v>1480</v>
      </c>
      <c r="G774" s="2" t="s">
        <v>399</v>
      </c>
      <c r="H774" s="8">
        <v>6.5</v>
      </c>
      <c r="I774" s="8">
        <v>4.07</v>
      </c>
      <c r="J774" s="8">
        <v>2.12</v>
      </c>
      <c r="K774" s="9">
        <v>130</v>
      </c>
      <c r="L774" s="8">
        <v>0.26</v>
      </c>
      <c r="M774" s="8"/>
    </row>
    <row r="775" spans="1:13" ht="17.25" customHeight="1" x14ac:dyDescent="0.2">
      <c r="A775" s="2" t="s">
        <v>1481</v>
      </c>
      <c r="B775" s="2" t="s">
        <v>1476</v>
      </c>
      <c r="C775" s="2" t="s">
        <v>14</v>
      </c>
      <c r="D775" s="2" t="s">
        <v>15</v>
      </c>
      <c r="E775" s="7" t="s">
        <v>16</v>
      </c>
      <c r="F775" s="2" t="s">
        <v>17</v>
      </c>
      <c r="G775" s="2" t="s">
        <v>1482</v>
      </c>
      <c r="H775" s="9">
        <v>4</v>
      </c>
      <c r="I775" s="10">
        <f>8/6</f>
        <v>1.3333333333333333</v>
      </c>
      <c r="J775" s="10">
        <f>8*(5/6)</f>
        <v>6.666666666666667</v>
      </c>
      <c r="K775" s="9"/>
      <c r="L775" s="8"/>
      <c r="M775" s="8">
        <v>3.5</v>
      </c>
    </row>
    <row r="776" spans="1:13" ht="17.25" customHeight="1" x14ac:dyDescent="0.2">
      <c r="A776" s="2" t="s">
        <v>1483</v>
      </c>
      <c r="B776" s="2" t="s">
        <v>1484</v>
      </c>
      <c r="C776" s="2" t="s">
        <v>14</v>
      </c>
      <c r="D776" s="2" t="s">
        <v>38</v>
      </c>
      <c r="E776" s="2" t="s">
        <v>26</v>
      </c>
      <c r="F776" s="2" t="s">
        <v>1075</v>
      </c>
      <c r="G776" s="2" t="s">
        <v>977</v>
      </c>
      <c r="H776" s="8">
        <f>14.2+11.7</f>
        <v>25.9</v>
      </c>
      <c r="I776" s="8">
        <f>(2.51*14.2+2.84*11.7)/$H776</f>
        <v>2.6590733590733588</v>
      </c>
      <c r="J776" s="8">
        <f>(2.62*14.2+2.63*11.7)/$H776</f>
        <v>2.6245173745173744</v>
      </c>
      <c r="K776" s="9"/>
      <c r="L776" s="8"/>
      <c r="M776" s="8"/>
    </row>
    <row r="777" spans="1:13" ht="17.25" customHeight="1" x14ac:dyDescent="0.2">
      <c r="A777" s="2" t="s">
        <v>1485</v>
      </c>
      <c r="B777" s="2" t="s">
        <v>1484</v>
      </c>
      <c r="C777" s="2" t="s">
        <v>14</v>
      </c>
      <c r="D777" s="2" t="s">
        <v>38</v>
      </c>
      <c r="E777" s="2" t="s">
        <v>26</v>
      </c>
      <c r="F777" s="2" t="s">
        <v>1075</v>
      </c>
      <c r="G777" s="2" t="s">
        <v>977</v>
      </c>
      <c r="H777" s="8">
        <f>154.6+59.7</f>
        <v>214.3</v>
      </c>
      <c r="I777" s="8">
        <f>(0.53*154.6+0.22*59.7)/$H777</f>
        <v>0.44363975734951</v>
      </c>
      <c r="J777" s="8">
        <f>(6.23*154.6+7.8*59.7)/$H777</f>
        <v>6.6673728418105451</v>
      </c>
      <c r="K777" s="9"/>
      <c r="L777" s="8"/>
      <c r="M777" s="8"/>
    </row>
    <row r="778" spans="1:13" ht="17.25" customHeight="1" x14ac:dyDescent="0.2">
      <c r="A778" s="2" t="s">
        <v>1486</v>
      </c>
      <c r="B778" s="2" t="s">
        <v>1484</v>
      </c>
      <c r="C778" s="2" t="s">
        <v>14</v>
      </c>
      <c r="D778" s="2"/>
      <c r="E778" s="2" t="s">
        <v>26</v>
      </c>
      <c r="F778" s="2" t="s">
        <v>1075</v>
      </c>
      <c r="G778" s="2" t="s">
        <v>977</v>
      </c>
      <c r="H778" s="10">
        <f>18.8+24.4+2.8</f>
        <v>46</v>
      </c>
      <c r="I778" s="8">
        <f>(2.88*18.8+2.61*24.4+2.53*2.8)/$H778</f>
        <v>2.7154782608695651</v>
      </c>
      <c r="J778" s="8">
        <f>(0.56*18.8+0.53*24.4+0.5*2.8)/$H778</f>
        <v>0.5404347826086956</v>
      </c>
      <c r="K778" s="9"/>
      <c r="L778" s="8"/>
      <c r="M778" s="8"/>
    </row>
    <row r="779" spans="1:13" ht="17.25" customHeight="1" x14ac:dyDescent="0.2">
      <c r="A779" s="2" t="s">
        <v>1487</v>
      </c>
      <c r="B779" s="2" t="s">
        <v>1484</v>
      </c>
      <c r="C779" s="2" t="s">
        <v>14</v>
      </c>
      <c r="D779" s="2" t="s">
        <v>15</v>
      </c>
      <c r="E779" s="7" t="s">
        <v>16</v>
      </c>
      <c r="F779" s="2" t="s">
        <v>17</v>
      </c>
      <c r="G779" s="2" t="s">
        <v>1488</v>
      </c>
      <c r="H779" s="8">
        <v>0.63</v>
      </c>
      <c r="I779" s="8">
        <v>0.18</v>
      </c>
      <c r="J779" s="8">
        <v>3.3</v>
      </c>
      <c r="K779" s="9"/>
      <c r="L779" s="8"/>
      <c r="M779" s="8"/>
    </row>
    <row r="780" spans="1:13" ht="17.25" customHeight="1" x14ac:dyDescent="0.2">
      <c r="A780" s="2" t="s">
        <v>1489</v>
      </c>
      <c r="B780" s="2" t="s">
        <v>1484</v>
      </c>
      <c r="C780" s="2" t="s">
        <v>14</v>
      </c>
      <c r="D780" s="2" t="s">
        <v>15</v>
      </c>
      <c r="E780" s="2" t="s">
        <v>26</v>
      </c>
      <c r="F780" s="2" t="s">
        <v>1490</v>
      </c>
      <c r="G780" s="2" t="s">
        <v>1491</v>
      </c>
      <c r="H780" s="8">
        <v>347.76773900000001</v>
      </c>
      <c r="I780" s="8">
        <v>0.09</v>
      </c>
      <c r="J780" s="8">
        <v>0.37</v>
      </c>
      <c r="K780" s="9"/>
      <c r="L780" s="8"/>
      <c r="M780" s="8"/>
    </row>
    <row r="781" spans="1:13" ht="17.25" customHeight="1" x14ac:dyDescent="0.2">
      <c r="A781" s="2" t="s">
        <v>1492</v>
      </c>
      <c r="B781" s="2" t="s">
        <v>1484</v>
      </c>
      <c r="C781" s="2" t="s">
        <v>24</v>
      </c>
      <c r="D781" s="2"/>
      <c r="E781" s="2" t="s">
        <v>26</v>
      </c>
      <c r="F781" s="2" t="s">
        <v>1493</v>
      </c>
      <c r="G781" s="2" t="s">
        <v>1380</v>
      </c>
      <c r="H781" s="8">
        <v>14.91</v>
      </c>
      <c r="I781" s="8">
        <v>0.57999999999999996</v>
      </c>
      <c r="J781" s="8">
        <v>3.04</v>
      </c>
      <c r="K781" s="8">
        <v>18.79</v>
      </c>
      <c r="L781" s="8">
        <v>0.45</v>
      </c>
      <c r="M781" s="8">
        <v>0.03</v>
      </c>
    </row>
    <row r="782" spans="1:13" ht="17.25" customHeight="1" x14ac:dyDescent="0.2">
      <c r="A782" s="2" t="s">
        <v>1494</v>
      </c>
      <c r="B782" s="2" t="s">
        <v>1484</v>
      </c>
      <c r="C782" s="2" t="s">
        <v>24</v>
      </c>
      <c r="D782" s="2"/>
      <c r="E782" s="2" t="s">
        <v>26</v>
      </c>
      <c r="F782" s="2" t="s">
        <v>1493</v>
      </c>
      <c r="G782" s="2" t="s">
        <v>1380</v>
      </c>
      <c r="H782" s="8">
        <v>1.1299999999999999</v>
      </c>
      <c r="I782" s="8">
        <v>3.95</v>
      </c>
      <c r="J782" s="8">
        <v>0.64</v>
      </c>
      <c r="K782" s="9">
        <v>38</v>
      </c>
      <c r="L782" s="8">
        <v>0.01</v>
      </c>
      <c r="M782" s="8"/>
    </row>
    <row r="783" spans="1:13" ht="17.25" customHeight="1" x14ac:dyDescent="0.2">
      <c r="A783" s="2" t="s">
        <v>1495</v>
      </c>
      <c r="B783" s="2" t="s">
        <v>1484</v>
      </c>
      <c r="C783" s="2" t="s">
        <v>24</v>
      </c>
      <c r="D783" s="2"/>
      <c r="E783" s="2" t="s">
        <v>26</v>
      </c>
      <c r="F783" s="2" t="s">
        <v>1493</v>
      </c>
      <c r="G783" s="2" t="s">
        <v>1380</v>
      </c>
      <c r="H783" s="8">
        <v>26.01</v>
      </c>
      <c r="I783" s="8">
        <v>0.49</v>
      </c>
      <c r="J783" s="8">
        <v>1.76</v>
      </c>
      <c r="K783" s="8">
        <v>21.7</v>
      </c>
      <c r="L783" s="8">
        <v>0.64</v>
      </c>
      <c r="M783" s="8">
        <v>0.84</v>
      </c>
    </row>
    <row r="784" spans="1:13" ht="17.25" customHeight="1" x14ac:dyDescent="0.2">
      <c r="A784" s="2" t="s">
        <v>1496</v>
      </c>
      <c r="B784" s="2" t="s">
        <v>1497</v>
      </c>
      <c r="C784" s="2" t="s">
        <v>132</v>
      </c>
      <c r="D784" s="2"/>
      <c r="E784" s="7" t="s">
        <v>16</v>
      </c>
      <c r="F784" s="2" t="s">
        <v>1498</v>
      </c>
      <c r="G784" s="2" t="s">
        <v>1499</v>
      </c>
      <c r="H784" s="8">
        <f>3.6+3.6</f>
        <v>7.2</v>
      </c>
      <c r="I784" s="8">
        <f>(3.5*3.6+3.4*3.6)/$H784</f>
        <v>3.4499999999999997</v>
      </c>
      <c r="J784" s="8">
        <f>(4.8*3.6+4.8*3.6)/$H784</f>
        <v>4.8</v>
      </c>
      <c r="K784" s="9"/>
      <c r="L784" s="8"/>
      <c r="M784" s="8"/>
    </row>
    <row r="785" spans="1:13" ht="17.25" customHeight="1" x14ac:dyDescent="0.2">
      <c r="A785" s="2" t="s">
        <v>1500</v>
      </c>
      <c r="B785" s="2" t="s">
        <v>1501</v>
      </c>
      <c r="C785" s="2" t="s">
        <v>24</v>
      </c>
      <c r="D785" s="2"/>
      <c r="E785" s="2" t="s">
        <v>26</v>
      </c>
      <c r="F785" s="2" t="s">
        <v>1502</v>
      </c>
      <c r="G785" s="2" t="s">
        <v>1503</v>
      </c>
      <c r="H785" s="8">
        <f>5.39+7.13+5.4+6.76+0.93+1.89+0.87+1.94+1.34+6.25+0.22</f>
        <v>38.120000000000005</v>
      </c>
      <c r="I785" s="10">
        <f>(1.8*5.39+2.3*7.13+0.2*5.4+0.3*6.76+0.1*0.93+0.1*1.89+2.63*0.87+1.31*1.94+0.08*1.34+0.5*6.25+0.02*0.22)/$H785</f>
        <v>0.98523347324239208</v>
      </c>
      <c r="J785" s="10">
        <f>(6.7*5.39+7.8*7.13+0.9*5.4+1.1*6.76+0.3*0.93+0.1*1.89+10.33*0.87+4*1.94+0.61*1.34+1.51*6.25+0.05*0.22)/$H785</f>
        <v>3.4497376705141654</v>
      </c>
      <c r="K785" s="10">
        <f>(56.3*5.39+80.1*7.13+23*5.4+32.1*6.76+9.4*0.93+6.1*1.89+111.2*0.87+64.7*1.94+23*1.34+37.7*6.25+4.6*0.22)/$H785</f>
        <v>45.271668415529895</v>
      </c>
      <c r="L785" s="10">
        <f>(0.6*5.39+1.3*7.13+1.9*5.4+2.4*6.76+2*0.93+1.7*1.89+1.24*0.87+1.64*1.94+3.52*1.34+1.99*6.25+1.38*0.22)/$H785</f>
        <v>1.7255587618048263</v>
      </c>
      <c r="M785" s="10">
        <f>(0.8*5.39+0.8*7.13+0.4*5.4+0.5*6.76+0.1*0.93+0.1*1.89+0.88*0.87+0.56*1.94+0.44*1.34+0.67*6.25+0.03*0.22)/$H785</f>
        <v>0.5895514165792235</v>
      </c>
    </row>
    <row r="786" spans="1:13" ht="17.25" customHeight="1" x14ac:dyDescent="0.2">
      <c r="A786" s="2" t="s">
        <v>1504</v>
      </c>
      <c r="B786" s="2" t="s">
        <v>1501</v>
      </c>
      <c r="C786" s="2" t="s">
        <v>24</v>
      </c>
      <c r="D786" s="2"/>
      <c r="E786" s="2" t="s">
        <v>26</v>
      </c>
      <c r="F786" s="2" t="s">
        <v>928</v>
      </c>
      <c r="G786" s="2" t="s">
        <v>47</v>
      </c>
      <c r="H786" s="8">
        <f>1.401+1.076+38.231</f>
        <v>40.707999999999998</v>
      </c>
      <c r="I786" s="8">
        <f>(4.82*1.401+2.1*1.076+1.29*38.231)/$H786</f>
        <v>1.4328979561756903</v>
      </c>
      <c r="J786" s="8">
        <f>(0*1.401+0*1.076+2.61*38.231)/$H786</f>
        <v>2.4511867446202222</v>
      </c>
      <c r="K786" s="10">
        <f>(104*1.401+39*1.076+27*38.231)/$H786</f>
        <v>29.967205463299603</v>
      </c>
      <c r="L786" s="8">
        <f>(0*1.401+0*1.076+1.05*38.231)/$H786</f>
        <v>0.9861096099046871</v>
      </c>
      <c r="M786" s="8">
        <f>(3.25*1.401+2.3*1.076+0*38.231)/$H786</f>
        <v>0.17264542596049917</v>
      </c>
    </row>
    <row r="787" spans="1:13" ht="17.25" customHeight="1" x14ac:dyDescent="0.2">
      <c r="A787" s="2" t="s">
        <v>1505</v>
      </c>
      <c r="B787" s="2" t="s">
        <v>1501</v>
      </c>
      <c r="C787" s="2" t="s">
        <v>24</v>
      </c>
      <c r="D787" s="2"/>
      <c r="E787" s="2" t="s">
        <v>26</v>
      </c>
      <c r="F787" s="2" t="s">
        <v>1506</v>
      </c>
      <c r="G787" s="2" t="s">
        <v>402</v>
      </c>
      <c r="H787" s="8">
        <v>30.35</v>
      </c>
      <c r="I787" s="8">
        <v>0.67</v>
      </c>
      <c r="J787" s="8">
        <v>2.35</v>
      </c>
      <c r="K787" s="10">
        <v>46.56</v>
      </c>
      <c r="L787" s="8">
        <v>0.67</v>
      </c>
      <c r="M787" s="8">
        <v>2.31</v>
      </c>
    </row>
    <row r="788" spans="1:13" ht="17.25" customHeight="1" x14ac:dyDescent="0.2">
      <c r="A788" s="2" t="s">
        <v>1507</v>
      </c>
      <c r="B788" s="2" t="s">
        <v>1501</v>
      </c>
      <c r="C788" s="2" t="s">
        <v>24</v>
      </c>
      <c r="D788" s="2"/>
      <c r="E788" s="2" t="s">
        <v>26</v>
      </c>
      <c r="F788" s="2" t="s">
        <v>1508</v>
      </c>
      <c r="G788" s="2" t="s">
        <v>1509</v>
      </c>
      <c r="H788" s="10">
        <v>134.082009</v>
      </c>
      <c r="I788" s="8">
        <v>0.45</v>
      </c>
      <c r="J788" s="8">
        <v>1.1000000000000001</v>
      </c>
      <c r="K788" s="8">
        <v>26.8</v>
      </c>
      <c r="L788" s="8">
        <v>0.54</v>
      </c>
      <c r="M788" s="8">
        <v>0.51</v>
      </c>
    </row>
    <row r="789" spans="1:13" ht="17.25" customHeight="1" x14ac:dyDescent="0.2">
      <c r="A789" s="2" t="s">
        <v>1510</v>
      </c>
      <c r="B789" s="2" t="s">
        <v>1501</v>
      </c>
      <c r="C789" s="2" t="s">
        <v>14</v>
      </c>
      <c r="D789" s="2" t="s">
        <v>38</v>
      </c>
      <c r="E789" s="7" t="s">
        <v>16</v>
      </c>
      <c r="F789" s="2" t="s">
        <v>1404</v>
      </c>
      <c r="G789" s="2" t="s">
        <v>828</v>
      </c>
      <c r="H789" s="10">
        <v>5</v>
      </c>
      <c r="I789" s="8">
        <v>7.6</v>
      </c>
      <c r="J789" s="8">
        <v>8.9</v>
      </c>
      <c r="K789" s="9">
        <v>51</v>
      </c>
      <c r="L789" s="8"/>
      <c r="M789" s="8"/>
    </row>
    <row r="790" spans="1:13" ht="17.25" customHeight="1" x14ac:dyDescent="0.2">
      <c r="A790" s="2" t="s">
        <v>1511</v>
      </c>
      <c r="B790" s="2" t="s">
        <v>1501</v>
      </c>
      <c r="C790" s="2" t="s">
        <v>410</v>
      </c>
      <c r="D790" s="2"/>
      <c r="E790" s="2" t="s">
        <v>26</v>
      </c>
      <c r="F790" s="2" t="s">
        <v>1401</v>
      </c>
      <c r="G790" s="2" t="s">
        <v>423</v>
      </c>
      <c r="H790" s="8">
        <v>22.7</v>
      </c>
      <c r="I790" s="8">
        <v>3.18</v>
      </c>
      <c r="J790" s="8">
        <v>4.16</v>
      </c>
      <c r="K790" s="8">
        <v>24.4</v>
      </c>
      <c r="L790" s="8">
        <v>0.13</v>
      </c>
      <c r="M790" s="8"/>
    </row>
    <row r="791" spans="1:13" ht="17.25" customHeight="1" x14ac:dyDescent="0.2">
      <c r="A791" s="2" t="s">
        <v>1512</v>
      </c>
      <c r="B791" s="2" t="s">
        <v>1513</v>
      </c>
      <c r="C791" s="2" t="s">
        <v>14</v>
      </c>
      <c r="D791" s="2" t="s">
        <v>38</v>
      </c>
      <c r="E791" s="7" t="s">
        <v>16</v>
      </c>
      <c r="F791" s="2" t="s">
        <v>17</v>
      </c>
      <c r="G791" s="2" t="s">
        <v>20</v>
      </c>
      <c r="H791" s="8">
        <v>3.6</v>
      </c>
      <c r="I791" s="8"/>
      <c r="J791" s="8">
        <v>4.9000000000000004</v>
      </c>
      <c r="K791" s="9">
        <v>72</v>
      </c>
      <c r="L791" s="8">
        <v>0.6</v>
      </c>
      <c r="M791" s="8"/>
    </row>
    <row r="792" spans="1:13" ht="17.25" customHeight="1" x14ac:dyDescent="0.2">
      <c r="A792" s="2" t="s">
        <v>1514</v>
      </c>
      <c r="B792" s="2" t="s">
        <v>1513</v>
      </c>
      <c r="C792" s="2" t="s">
        <v>24</v>
      </c>
      <c r="D792" s="2"/>
      <c r="E792" s="2" t="s">
        <v>26</v>
      </c>
      <c r="F792" s="2" t="s">
        <v>1515</v>
      </c>
      <c r="G792" s="2" t="s">
        <v>1516</v>
      </c>
      <c r="H792" s="8">
        <f>80.75+36.31</f>
        <v>117.06</v>
      </c>
      <c r="I792" s="8"/>
      <c r="J792" s="8">
        <f>(0.65*80.75+0.7*36.31)/$H792</f>
        <v>0.66550914061165223</v>
      </c>
      <c r="K792" s="9"/>
      <c r="L792" s="8">
        <f>(1.12*80.75+1.11*36.31)/$H792</f>
        <v>1.1168981718776696</v>
      </c>
      <c r="M792" s="8">
        <f>(1.27*80.75+1.09*36.31)/$H792</f>
        <v>1.2141670937980524</v>
      </c>
    </row>
    <row r="793" spans="1:13" ht="17.25" customHeight="1" x14ac:dyDescent="0.2">
      <c r="A793" s="2" t="s">
        <v>1517</v>
      </c>
      <c r="B793" s="2" t="s">
        <v>1518</v>
      </c>
      <c r="C793" s="2" t="s">
        <v>1519</v>
      </c>
      <c r="D793" s="2"/>
      <c r="E793" s="2" t="s">
        <v>26</v>
      </c>
      <c r="F793" s="2" t="s">
        <v>1520</v>
      </c>
      <c r="G793" s="2" t="s">
        <v>1159</v>
      </c>
      <c r="H793" s="8">
        <f>0.17+0.37</f>
        <v>0.54</v>
      </c>
      <c r="I793" s="8"/>
      <c r="J793" s="8">
        <f>(0.61*0.17+0.39*0.37)/$H793</f>
        <v>0.4592592592592592</v>
      </c>
      <c r="K793" s="10">
        <f>(24.95*0.17+11.72*0.37)/$H793</f>
        <v>15.884999999999998</v>
      </c>
      <c r="L793" s="8">
        <f>(0.43*0.17+0.25*0.37)/$H793</f>
        <v>0.30666666666666664</v>
      </c>
      <c r="M793" s="8">
        <f>(2.11*0.17+1.42*0.37)/$H793</f>
        <v>1.6372222222222221</v>
      </c>
    </row>
    <row r="794" spans="1:13" ht="17.25" customHeight="1" x14ac:dyDescent="0.2">
      <c r="A794" s="2" t="s">
        <v>1521</v>
      </c>
      <c r="B794" s="2" t="s">
        <v>1518</v>
      </c>
      <c r="C794" s="2" t="s">
        <v>1519</v>
      </c>
      <c r="D794" s="2" t="s">
        <v>1127</v>
      </c>
      <c r="E794" s="2" t="s">
        <v>26</v>
      </c>
      <c r="F794" s="2" t="s">
        <v>1082</v>
      </c>
      <c r="G794" s="2" t="s">
        <v>82</v>
      </c>
      <c r="H794" s="8">
        <f>0.84+6.8+0.05+0.48+4.44</f>
        <v>12.61</v>
      </c>
      <c r="I794" s="10">
        <f>(0.1*0.84+0.4*6.8+0.2*0.05+0.2*0.48+0.2*4.44)/$H794</f>
        <v>0.30118953211736721</v>
      </c>
      <c r="J794" s="10">
        <f>(1.7*0.84+6.7*6.8+4.2*0.05+2.8*0.48+3.7*4.44)/$H794</f>
        <v>5.152260111022998</v>
      </c>
      <c r="K794" s="12">
        <f>(24*0.84+43*6.8+45*0.05+22*0.48+36*4.44)/$H794</f>
        <v>38.478191911181604</v>
      </c>
      <c r="L794" s="10">
        <f>(1.3*0.84+0.5*6.8+1.3*0.05+1.1*0.48+0.8*4.44)/$H794</f>
        <v>0.68493259318001598</v>
      </c>
      <c r="M794" s="10">
        <f>(1.1*0.84+0.6*6.8+0.7*0.05+1*0.48+0.7*4.44)/$H794</f>
        <v>0.68413957176843787</v>
      </c>
    </row>
    <row r="795" spans="1:13" ht="17.25" customHeight="1" x14ac:dyDescent="0.2">
      <c r="A795" s="2" t="s">
        <v>1522</v>
      </c>
      <c r="B795" s="2" t="s">
        <v>1518</v>
      </c>
      <c r="C795" s="2" t="s">
        <v>24</v>
      </c>
      <c r="D795" s="2"/>
      <c r="E795" s="2" t="s">
        <v>26</v>
      </c>
      <c r="F795" s="2" t="s">
        <v>1082</v>
      </c>
      <c r="G795" s="2" t="s">
        <v>82</v>
      </c>
      <c r="H795" s="8">
        <f>1.4+1.05+0.36</f>
        <v>2.81</v>
      </c>
      <c r="I795" s="10">
        <f>(0.4*1.4+0.2*1.05+0.2*0.36)/$H795</f>
        <v>0.29964412811387897</v>
      </c>
      <c r="J795" s="10">
        <f>(3.9*1.4+3.3*1.05+2.9*0.36)/$H795</f>
        <v>3.5476868327402138</v>
      </c>
      <c r="K795" s="12">
        <f>(56*1.4+40*1.05+45*0.36)/$H795</f>
        <v>48.612099644128108</v>
      </c>
      <c r="L795" s="10">
        <f>(0.3*1.4+0.4*1.05+0.7*0.36)/$H795</f>
        <v>0.38861209964412813</v>
      </c>
      <c r="M795" s="10">
        <f>(1.5*1.4+1.3*1.05+0.9*0.36)/$H795</f>
        <v>1.3483985765124553</v>
      </c>
    </row>
    <row r="796" spans="1:13" ht="17.25" customHeight="1" x14ac:dyDescent="0.2">
      <c r="A796" s="2" t="s">
        <v>1523</v>
      </c>
      <c r="B796" s="2" t="s">
        <v>1518</v>
      </c>
      <c r="C796" s="2" t="s">
        <v>24</v>
      </c>
      <c r="D796" s="2"/>
      <c r="E796" s="2" t="s">
        <v>26</v>
      </c>
      <c r="F796" s="2" t="s">
        <v>1082</v>
      </c>
      <c r="G796" s="2" t="s">
        <v>82</v>
      </c>
      <c r="H796" s="8">
        <f>0.2+0.36</f>
        <v>0.56000000000000005</v>
      </c>
      <c r="I796" s="8"/>
      <c r="J796" s="10">
        <f>(0*0.2+0.2*0.36)/$H796</f>
        <v>0.12857142857142856</v>
      </c>
      <c r="K796" s="12">
        <f>(7*0.2+11*0.36)/$H796</f>
        <v>9.5714285714285712</v>
      </c>
      <c r="L796" s="10">
        <f>(1*0.2+0.4*0.36)/$H796</f>
        <v>0.61428571428571421</v>
      </c>
      <c r="M796" s="10">
        <f>(0.3*0.2+0.4*0.36)/$H796</f>
        <v>0.36428571428571421</v>
      </c>
    </row>
    <row r="797" spans="1:13" ht="17.25" customHeight="1" x14ac:dyDescent="0.2">
      <c r="A797" s="2" t="s">
        <v>1524</v>
      </c>
      <c r="B797" s="2" t="s">
        <v>1518</v>
      </c>
      <c r="C797" s="2" t="s">
        <v>24</v>
      </c>
      <c r="D797" s="2"/>
      <c r="E797" s="2" t="s">
        <v>26</v>
      </c>
      <c r="F797" s="2" t="s">
        <v>1082</v>
      </c>
      <c r="G797" s="2" t="s">
        <v>82</v>
      </c>
      <c r="H797" s="8">
        <f>0.31+1.2+0.72</f>
        <v>2.23</v>
      </c>
      <c r="I797" s="10">
        <f>(0.3*0.31+0.3*1.2+0.2*0.72)/$H797</f>
        <v>0.26771300448430491</v>
      </c>
      <c r="J797" s="10">
        <f>(3.1*0.31+1.8*1.2+1.2*0.72)/$H797</f>
        <v>1.7869955156950672</v>
      </c>
      <c r="K797" s="12">
        <f>(73*0.31+52*1.2+33*0.72)/$H797</f>
        <v>48.784753363228695</v>
      </c>
      <c r="L797" s="10">
        <f>(1.8*0.31+0.6*1.2+0.5*0.72)/$H797</f>
        <v>0.7345291479820627</v>
      </c>
      <c r="M797" s="10">
        <f>(8.1*0.31+2.7*1.2+3.3*0.72)/$H797</f>
        <v>3.6443946188340801</v>
      </c>
    </row>
    <row r="798" spans="1:13" ht="17.25" customHeight="1" x14ac:dyDescent="0.2">
      <c r="A798" s="2" t="s">
        <v>1525</v>
      </c>
      <c r="B798" s="2" t="s">
        <v>1518</v>
      </c>
      <c r="C798" s="2" t="s">
        <v>24</v>
      </c>
      <c r="D798" s="2"/>
      <c r="E798" s="2" t="s">
        <v>26</v>
      </c>
      <c r="F798" s="2" t="s">
        <v>1082</v>
      </c>
      <c r="G798" s="2" t="s">
        <v>82</v>
      </c>
      <c r="H798" s="8">
        <f>0.15+3.36+1.22+2.95</f>
        <v>7.68</v>
      </c>
      <c r="I798" s="10">
        <f>(1.3*0.15+1*3.36+0.8*1.22+1.7*2.95)/$H798</f>
        <v>1.24296875</v>
      </c>
      <c r="J798" s="10">
        <f>(13.6*0.15+6.4*3.36+4.6*1.22+8.5*2.95)/$H798</f>
        <v>7.0613281250000002</v>
      </c>
      <c r="K798" s="12">
        <f>(127*0.15+149*3.36+85*1.22+160*2.95)/$H798</f>
        <v>142.62890625</v>
      </c>
      <c r="L798" s="10">
        <f>(0.9*0.15+0.8*3.36+0.4*1.22+0.3*2.95)/$H798</f>
        <v>0.54635416666666681</v>
      </c>
      <c r="M798" s="10">
        <f>(1.8*0.15+2.8*3.36+1.9*1.22+3.2*2.95)/$H798</f>
        <v>2.7911458333333332</v>
      </c>
    </row>
    <row r="799" spans="1:13" ht="17.25" customHeight="1" x14ac:dyDescent="0.2">
      <c r="A799" s="2" t="s">
        <v>1526</v>
      </c>
      <c r="B799" s="2" t="s">
        <v>1518</v>
      </c>
      <c r="C799" s="2" t="s">
        <v>24</v>
      </c>
      <c r="D799" s="2"/>
      <c r="E799" s="2" t="s">
        <v>26</v>
      </c>
      <c r="F799" s="2" t="s">
        <v>1082</v>
      </c>
      <c r="G799" s="2" t="s">
        <v>82</v>
      </c>
      <c r="H799" s="8">
        <f>14.9+21.4+2.8+15.8+19.5</f>
        <v>74.399999999999991</v>
      </c>
      <c r="I799" s="10">
        <f>(2.2*14.9+1.7*21.4+1.7*2.8+1.7*15.8+1.6*19.5)/$H799</f>
        <v>1.7739247311827961</v>
      </c>
      <c r="J799" s="10">
        <f>(5.5*14.9+3.9*21.4+3.8*2.8+3.4*15.8+3.2*19.5)/$H799</f>
        <v>3.9270161290322578</v>
      </c>
      <c r="K799" s="12">
        <f>(116*14.9+143*21.4+98*2.8+131*15.8+113*19.5)/$H799</f>
        <v>125.48790322580646</v>
      </c>
      <c r="L799" s="8">
        <f>(0.06*14.9+0.04*21.4+0.06*2.8+0.05*15.8+0.07*19.5)/$H799</f>
        <v>5.4744623655913989E-2</v>
      </c>
      <c r="M799" s="10">
        <f>(0.3*14.9+0.3*21.4+0.3*2.8+0.4*15.8+0.5*19.5)/$H799</f>
        <v>0.37365591397849462</v>
      </c>
    </row>
    <row r="800" spans="1:13" ht="17.25" customHeight="1" x14ac:dyDescent="0.2">
      <c r="A800" s="2" t="s">
        <v>1527</v>
      </c>
      <c r="B800" s="2" t="s">
        <v>1518</v>
      </c>
      <c r="C800" s="2" t="s">
        <v>1528</v>
      </c>
      <c r="D800" s="2"/>
      <c r="E800" s="2" t="s">
        <v>26</v>
      </c>
      <c r="F800" s="2" t="s">
        <v>1529</v>
      </c>
      <c r="G800" s="2" t="s">
        <v>82</v>
      </c>
      <c r="H800" s="9">
        <v>2350</v>
      </c>
      <c r="I800" s="8"/>
      <c r="J800" s="11">
        <v>4.3099999999999999E-2</v>
      </c>
      <c r="K800" s="9"/>
      <c r="L800" s="8"/>
      <c r="M800" s="8"/>
    </row>
    <row r="801" spans="1:13" ht="17.25" customHeight="1" x14ac:dyDescent="0.2">
      <c r="A801" s="2" t="s">
        <v>1530</v>
      </c>
      <c r="B801" s="2" t="s">
        <v>1518</v>
      </c>
      <c r="C801" s="2" t="s">
        <v>14</v>
      </c>
      <c r="D801" s="2" t="s">
        <v>38</v>
      </c>
      <c r="E801" s="7" t="s">
        <v>16</v>
      </c>
      <c r="F801" s="2" t="s">
        <v>17</v>
      </c>
      <c r="G801" s="2" t="s">
        <v>20</v>
      </c>
      <c r="H801" s="8">
        <v>0.55000000000000004</v>
      </c>
      <c r="I801" s="8">
        <v>2.6</v>
      </c>
      <c r="J801" s="8">
        <v>4.5</v>
      </c>
      <c r="K801" s="9">
        <v>12</v>
      </c>
      <c r="L801" s="8">
        <v>0.2</v>
      </c>
      <c r="M801" s="8"/>
    </row>
    <row r="802" spans="1:13" ht="17.25" customHeight="1" x14ac:dyDescent="0.2">
      <c r="A802" s="2" t="s">
        <v>1531</v>
      </c>
      <c r="B802" s="2" t="s">
        <v>1518</v>
      </c>
      <c r="C802" s="2" t="s">
        <v>24</v>
      </c>
      <c r="D802" s="2"/>
      <c r="E802" s="2" t="s">
        <v>26</v>
      </c>
      <c r="F802" s="2" t="s">
        <v>1082</v>
      </c>
      <c r="G802" s="2" t="s">
        <v>82</v>
      </c>
      <c r="H802" s="10">
        <f>0.8+9.2</f>
        <v>10</v>
      </c>
      <c r="I802" s="10">
        <f>(0.9*0.8+0.4*9.2)/$H802</f>
        <v>0.43999999999999995</v>
      </c>
      <c r="J802" s="10">
        <f>(4.4*0.8+4*9.2)/$H802</f>
        <v>4.032</v>
      </c>
      <c r="K802" s="12">
        <f>(102*0.8+48*9.2)/$H802</f>
        <v>52.319999999999993</v>
      </c>
      <c r="L802" s="10">
        <f>(2.1*0.8+1.8*9.2)/$H802</f>
        <v>1.8239999999999998</v>
      </c>
      <c r="M802" s="8">
        <f>(0.08*0.8+0.06*9.2)/$H802</f>
        <v>6.1599999999999988E-2</v>
      </c>
    </row>
    <row r="803" spans="1:13" ht="17.25" customHeight="1" x14ac:dyDescent="0.2">
      <c r="A803" s="2" t="s">
        <v>1532</v>
      </c>
      <c r="B803" s="2" t="s">
        <v>1518</v>
      </c>
      <c r="C803" s="2" t="s">
        <v>1528</v>
      </c>
      <c r="D803" s="2"/>
      <c r="E803" s="2" t="s">
        <v>26</v>
      </c>
      <c r="F803" s="2" t="s">
        <v>1533</v>
      </c>
      <c r="G803" s="2" t="s">
        <v>715</v>
      </c>
      <c r="H803" s="9">
        <f>43+3019</f>
        <v>3062</v>
      </c>
      <c r="I803" s="10"/>
      <c r="J803" s="11">
        <f>(0.041*43+0.042*3019)/$H803</f>
        <v>4.1985956890920967E-2</v>
      </c>
      <c r="K803" s="12"/>
      <c r="L803" s="11">
        <f>(0.01*43+0.012*3019)/$H803</f>
        <v>1.1971913781841934E-2</v>
      </c>
      <c r="M803" s="8"/>
    </row>
    <row r="804" spans="1:13" ht="17.25" customHeight="1" x14ac:dyDescent="0.2">
      <c r="A804" s="2" t="s">
        <v>1534</v>
      </c>
      <c r="B804" s="2" t="s">
        <v>1518</v>
      </c>
      <c r="C804" s="2" t="s">
        <v>1246</v>
      </c>
      <c r="D804" s="2"/>
      <c r="E804" s="2" t="s">
        <v>26</v>
      </c>
      <c r="F804" s="2" t="s">
        <v>1535</v>
      </c>
      <c r="G804" s="2" t="s">
        <v>1536</v>
      </c>
      <c r="H804" s="8">
        <f>21.61+19.65</f>
        <v>41.26</v>
      </c>
      <c r="I804" s="8"/>
      <c r="J804" s="8">
        <f>(0.28*21.61+0.09*19.65)/$H804</f>
        <v>0.18951284537081919</v>
      </c>
      <c r="K804" s="8">
        <f>(5.13*21.61+0.26*19.65)/$H804</f>
        <v>2.8106713523994182</v>
      </c>
      <c r="L804" s="8">
        <f>(1.49*21.61+0.76*19.65)/$H804</f>
        <v>1.1423388269510422</v>
      </c>
      <c r="M804" s="8">
        <f>(0*21.61+0.02*19.65)/$H804</f>
        <v>9.5249636451769266E-3</v>
      </c>
    </row>
    <row r="805" spans="1:13" ht="17.25" customHeight="1" x14ac:dyDescent="0.2">
      <c r="A805" s="2" t="s">
        <v>1537</v>
      </c>
      <c r="B805" s="2" t="s">
        <v>1518</v>
      </c>
      <c r="C805" s="2" t="s">
        <v>14</v>
      </c>
      <c r="D805" s="2" t="s">
        <v>38</v>
      </c>
      <c r="E805" s="2" t="s">
        <v>26</v>
      </c>
      <c r="F805" s="2" t="s">
        <v>1404</v>
      </c>
      <c r="G805" s="2" t="s">
        <v>40</v>
      </c>
      <c r="H805" s="8">
        <f>5.02+0.624+0.616+8.524+6.426+4.988</f>
        <v>26.198</v>
      </c>
      <c r="I805" s="10">
        <f>(0*5.02+0*0.624+0*0.616+4.8*8.524+4.2*6.426+3.2*4.988)/$H805</f>
        <v>3.2012367356286737</v>
      </c>
      <c r="J805" s="10">
        <f>(0.4*5.02+0.3*0.624+0.5*0.616+11.3*8.524+9.3*6.426+8.7*4.988)/$H805</f>
        <v>7.7098175433239184</v>
      </c>
      <c r="K805" s="12">
        <f>(30*5.02+37*0.624+34*0.616+103*8.524+93*6.426+83*4.988)/$H805</f>
        <v>79.556683716314211</v>
      </c>
      <c r="L805" s="10">
        <f>(2.2*5.02+2.4*0.624+1.8*0.616+0*8.524+0*6.426+0*4.988)/$H805</f>
        <v>0.52104740819909923</v>
      </c>
      <c r="M805" s="8"/>
    </row>
    <row r="806" spans="1:13" ht="17.25" customHeight="1" x14ac:dyDescent="0.2">
      <c r="A806" s="2" t="s">
        <v>1538</v>
      </c>
      <c r="B806" s="2" t="s">
        <v>1539</v>
      </c>
      <c r="C806" s="2" t="s">
        <v>162</v>
      </c>
      <c r="D806" s="2"/>
      <c r="E806" s="7" t="s">
        <v>16</v>
      </c>
      <c r="F806" s="2" t="s">
        <v>1540</v>
      </c>
      <c r="G806" s="2" t="s">
        <v>841</v>
      </c>
      <c r="H806" s="9">
        <v>961</v>
      </c>
      <c r="I806" s="10">
        <v>0.5</v>
      </c>
      <c r="J806" s="10">
        <v>0.4</v>
      </c>
      <c r="K806" s="12">
        <v>52</v>
      </c>
      <c r="L806" s="10"/>
      <c r="M806" s="8"/>
    </row>
    <row r="807" spans="1:13" ht="17.25" customHeight="1" x14ac:dyDescent="0.2">
      <c r="A807" s="2" t="s">
        <v>1541</v>
      </c>
      <c r="B807" s="2" t="s">
        <v>1542</v>
      </c>
      <c r="C807" s="2" t="s">
        <v>24</v>
      </c>
      <c r="D807" s="2"/>
      <c r="E807" s="2" t="s">
        <v>26</v>
      </c>
      <c r="F807" s="2" t="s">
        <v>1543</v>
      </c>
      <c r="G807" s="2" t="s">
        <v>715</v>
      </c>
      <c r="H807" s="8">
        <f>0.29+1.841+0.398+2.583+0.939</f>
        <v>6.0510000000000002</v>
      </c>
      <c r="I807" s="8"/>
      <c r="J807" s="8">
        <f>(0.02*0.29+1.65*1.841+0.07*0.398+1.42*2.583+2.92*0.939)/$H807</f>
        <v>1.5668567178978681</v>
      </c>
      <c r="K807" s="10">
        <f>(10.5*0.29+17.5*1.841+7.2*0.398+20.6*2.583+15.6*0.939)/$H807</f>
        <v>17.515501569988434</v>
      </c>
      <c r="L807" s="8">
        <f>(0.06*0.29+2.2*1.841+0.13*0.398+1.09*2.583+0.69*0.939)/$H807</f>
        <v>1.2531350190051231</v>
      </c>
      <c r="M807" s="8">
        <f>(2.55*0.29+1.06*1.841+4.77*0.398+0.96*2.583+0.84*0.939)/$H807</f>
        <v>1.2986051892249215</v>
      </c>
    </row>
    <row r="808" spans="1:13" ht="17.25" customHeight="1" x14ac:dyDescent="0.2">
      <c r="A808" s="2" t="s">
        <v>1544</v>
      </c>
      <c r="B808" s="2" t="s">
        <v>1545</v>
      </c>
      <c r="C808" s="2" t="s">
        <v>14</v>
      </c>
      <c r="D808" s="2" t="s">
        <v>15</v>
      </c>
      <c r="E808" s="2" t="s">
        <v>26</v>
      </c>
      <c r="F808" s="2" t="s">
        <v>1123</v>
      </c>
      <c r="G808" s="2" t="s">
        <v>82</v>
      </c>
      <c r="H808" s="8">
        <v>1.609</v>
      </c>
      <c r="I808" s="8"/>
      <c r="J808" s="8">
        <v>10.3</v>
      </c>
      <c r="K808" s="9"/>
      <c r="L808" s="8"/>
      <c r="M808" s="8"/>
    </row>
    <row r="809" spans="1:13" ht="17.25" customHeight="1" x14ac:dyDescent="0.2">
      <c r="A809" s="2" t="s">
        <v>1546</v>
      </c>
      <c r="B809" s="2" t="s">
        <v>1547</v>
      </c>
      <c r="C809" s="2" t="s">
        <v>14</v>
      </c>
      <c r="D809" s="2" t="s">
        <v>15</v>
      </c>
      <c r="E809" s="2" t="s">
        <v>26</v>
      </c>
      <c r="F809" s="2" t="s">
        <v>1548</v>
      </c>
      <c r="G809" s="2" t="s">
        <v>1549</v>
      </c>
      <c r="H809" s="8">
        <v>8.8360000000000003</v>
      </c>
      <c r="I809" s="8">
        <v>0.99</v>
      </c>
      <c r="J809" s="8">
        <v>2.17</v>
      </c>
      <c r="K809" s="8">
        <v>7.3</v>
      </c>
      <c r="L809" s="8"/>
      <c r="M809" s="8"/>
    </row>
    <row r="810" spans="1:13" ht="17.25" customHeight="1" x14ac:dyDescent="0.2">
      <c r="A810" s="2" t="s">
        <v>1550</v>
      </c>
      <c r="B810" s="2" t="s">
        <v>1547</v>
      </c>
      <c r="C810" s="2" t="s">
        <v>14</v>
      </c>
      <c r="D810" s="2" t="s">
        <v>15</v>
      </c>
      <c r="E810" s="7" t="s">
        <v>16</v>
      </c>
      <c r="F810" s="2" t="s">
        <v>1548</v>
      </c>
      <c r="G810" s="2" t="s">
        <v>1551</v>
      </c>
      <c r="H810" s="8">
        <v>2.7</v>
      </c>
      <c r="I810" s="8">
        <v>3.34</v>
      </c>
      <c r="J810" s="8">
        <v>6.14</v>
      </c>
      <c r="K810" s="9"/>
      <c r="L810" s="8"/>
      <c r="M810" s="8"/>
    </row>
    <row r="811" spans="1:13" ht="17.25" customHeight="1" x14ac:dyDescent="0.2">
      <c r="A811" s="2" t="s">
        <v>1552</v>
      </c>
      <c r="B811" s="2" t="s">
        <v>1547</v>
      </c>
      <c r="C811" s="2" t="s">
        <v>14</v>
      </c>
      <c r="D811" s="2" t="s">
        <v>15</v>
      </c>
      <c r="E811" s="2" t="s">
        <v>26</v>
      </c>
      <c r="F811" s="2" t="s">
        <v>1548</v>
      </c>
      <c r="G811" s="2" t="s">
        <v>1553</v>
      </c>
      <c r="H811" s="8">
        <v>1.2</v>
      </c>
      <c r="I811" s="8">
        <v>5.6</v>
      </c>
      <c r="J811" s="10">
        <v>6</v>
      </c>
      <c r="K811" s="9"/>
      <c r="L811" s="8"/>
      <c r="M811" s="8"/>
    </row>
    <row r="812" spans="1:13" ht="17.25" customHeight="1" x14ac:dyDescent="0.2">
      <c r="A812" s="2" t="s">
        <v>1554</v>
      </c>
      <c r="B812" s="2" t="s">
        <v>1547</v>
      </c>
      <c r="C812" s="2" t="s">
        <v>14</v>
      </c>
      <c r="D812" s="2" t="s">
        <v>15</v>
      </c>
      <c r="E812" s="7" t="s">
        <v>16</v>
      </c>
      <c r="F812" s="2" t="s">
        <v>1548</v>
      </c>
      <c r="G812" s="2" t="s">
        <v>1555</v>
      </c>
      <c r="H812" s="8">
        <v>0.4</v>
      </c>
      <c r="I812" s="8">
        <v>1.75</v>
      </c>
      <c r="J812" s="8">
        <v>1.75</v>
      </c>
      <c r="K812" s="9"/>
      <c r="L812" s="8"/>
      <c r="M812" s="8"/>
    </row>
    <row r="813" spans="1:13" ht="17.25" customHeight="1" x14ac:dyDescent="0.2">
      <c r="A813" s="2" t="s">
        <v>1556</v>
      </c>
      <c r="B813" s="2" t="s">
        <v>1547</v>
      </c>
      <c r="C813" s="2" t="s">
        <v>14</v>
      </c>
      <c r="D813" s="2" t="s">
        <v>15</v>
      </c>
      <c r="E813" s="7" t="s">
        <v>16</v>
      </c>
      <c r="F813" s="2" t="s">
        <v>1548</v>
      </c>
      <c r="G813" s="2" t="s">
        <v>1555</v>
      </c>
      <c r="H813" s="8">
        <v>2.5000000000000001E-2</v>
      </c>
      <c r="I813" s="8">
        <v>1.75</v>
      </c>
      <c r="J813" s="8">
        <v>1.75</v>
      </c>
      <c r="K813" s="9"/>
      <c r="L813" s="8"/>
      <c r="M813" s="8"/>
    </row>
    <row r="814" spans="1:13" ht="17.25" customHeight="1" x14ac:dyDescent="0.2">
      <c r="A814" s="2" t="s">
        <v>1557</v>
      </c>
      <c r="B814" s="2" t="s">
        <v>1547</v>
      </c>
      <c r="C814" s="2" t="s">
        <v>14</v>
      </c>
      <c r="D814" s="2" t="s">
        <v>15</v>
      </c>
      <c r="E814" s="7" t="s">
        <v>16</v>
      </c>
      <c r="F814" s="2" t="s">
        <v>1548</v>
      </c>
      <c r="G814" s="2" t="s">
        <v>1555</v>
      </c>
      <c r="H814" s="9">
        <v>4</v>
      </c>
      <c r="I814" s="9">
        <v>1</v>
      </c>
      <c r="J814" s="9">
        <v>1</v>
      </c>
      <c r="K814" s="9"/>
      <c r="L814" s="8"/>
      <c r="M814" s="8"/>
    </row>
    <row r="815" spans="1:13" ht="17.25" customHeight="1" x14ac:dyDescent="0.2">
      <c r="A815" s="2" t="s">
        <v>1558</v>
      </c>
      <c r="B815" s="2" t="s">
        <v>1559</v>
      </c>
      <c r="C815" s="2" t="s">
        <v>14</v>
      </c>
      <c r="D815" s="2" t="s">
        <v>38</v>
      </c>
      <c r="E815" s="7" t="s">
        <v>16</v>
      </c>
      <c r="F815" s="2" t="s">
        <v>17</v>
      </c>
      <c r="G815" s="2" t="s">
        <v>20</v>
      </c>
      <c r="H815" s="8">
        <v>0.9</v>
      </c>
      <c r="I815" s="8">
        <v>1.5</v>
      </c>
      <c r="J815" s="8">
        <v>7.5</v>
      </c>
      <c r="K815" s="9"/>
      <c r="L815" s="8"/>
      <c r="M815" s="8"/>
    </row>
    <row r="816" spans="1:13" ht="17.25" customHeight="1" x14ac:dyDescent="0.2">
      <c r="A816" s="2" t="s">
        <v>1560</v>
      </c>
      <c r="B816" s="2" t="s">
        <v>1559</v>
      </c>
      <c r="C816" s="2" t="s">
        <v>24</v>
      </c>
      <c r="D816" s="2"/>
      <c r="E816" s="2" t="s">
        <v>26</v>
      </c>
      <c r="F816" s="2" t="s">
        <v>928</v>
      </c>
      <c r="G816" s="2" t="s">
        <v>47</v>
      </c>
      <c r="H816" s="8">
        <f>5.092+0.98+7.374</f>
        <v>13.445999999999998</v>
      </c>
      <c r="I816" s="8"/>
      <c r="J816" s="8">
        <f>(2.5*5.092+5.65*0.98+2.49*7.374)/$H816</f>
        <v>2.7241008478357878</v>
      </c>
      <c r="K816" s="10">
        <f>(20*5.092+0*0.98+21*7.374)/$H816</f>
        <v>19.09073330358471</v>
      </c>
      <c r="L816" s="8">
        <f>(2.94*5.092+2.64*0.98+2.72*7.374)/$H816</f>
        <v>2.7974832663989293</v>
      </c>
      <c r="M816" s="8">
        <f>(0.57*5.092+0*0.98+0.33*7.374)/$H816</f>
        <v>0.39683623382418565</v>
      </c>
    </row>
    <row r="817" spans="1:13" ht="17.25" customHeight="1" x14ac:dyDescent="0.2">
      <c r="A817" s="2" t="s">
        <v>1561</v>
      </c>
      <c r="B817" s="2" t="s">
        <v>1559</v>
      </c>
      <c r="C817" s="2" t="s">
        <v>30</v>
      </c>
      <c r="D817" s="2" t="s">
        <v>262</v>
      </c>
      <c r="E817" s="2" t="s">
        <v>26</v>
      </c>
      <c r="F817" s="2" t="s">
        <v>1562</v>
      </c>
      <c r="G817" s="2" t="s">
        <v>540</v>
      </c>
      <c r="H817" s="8">
        <f>4.6+0.2</f>
        <v>4.8</v>
      </c>
      <c r="I817" s="8">
        <f>(0.38*4.6+0.4*0.2)/$H817</f>
        <v>0.3808333333333333</v>
      </c>
      <c r="J817" s="8">
        <f>(0.96*4.6+1.45*0.2)/$H817</f>
        <v>0.9804166666666666</v>
      </c>
      <c r="K817" s="8">
        <f>(2.28*4.6+3.2*0.2)/$H817</f>
        <v>2.3183333333333329</v>
      </c>
      <c r="L817" s="8"/>
      <c r="M817" s="8">
        <f>(1.82*4.6+1.07*0.2)/$H817</f>
        <v>1.7887500000000001</v>
      </c>
    </row>
    <row r="818" spans="1:13" ht="17.25" customHeight="1" x14ac:dyDescent="0.2">
      <c r="A818" s="2" t="s">
        <v>1563</v>
      </c>
      <c r="B818" s="2" t="s">
        <v>1559</v>
      </c>
      <c r="C818" s="2" t="s">
        <v>14</v>
      </c>
      <c r="D818" s="2" t="s">
        <v>15</v>
      </c>
      <c r="E818" s="2" t="s">
        <v>26</v>
      </c>
      <c r="F818" s="2" t="s">
        <v>1564</v>
      </c>
      <c r="G818" s="2" t="s">
        <v>540</v>
      </c>
      <c r="H818" s="8">
        <v>6.25</v>
      </c>
      <c r="I818" s="8">
        <v>5.0000000000000001E-3</v>
      </c>
      <c r="J818" s="8">
        <v>1.68</v>
      </c>
      <c r="K818" s="8">
        <v>1.53</v>
      </c>
      <c r="L818" s="8"/>
      <c r="M818" s="8"/>
    </row>
    <row r="819" spans="1:13" ht="17.25" customHeight="1" x14ac:dyDescent="0.2">
      <c r="A819" s="2" t="s">
        <v>1565</v>
      </c>
      <c r="B819" s="2" t="s">
        <v>1559</v>
      </c>
      <c r="C819" s="2" t="s">
        <v>132</v>
      </c>
      <c r="D819" s="2"/>
      <c r="E819" s="2" t="s">
        <v>26</v>
      </c>
      <c r="F819" s="2" t="s">
        <v>1566</v>
      </c>
      <c r="G819" s="2" t="s">
        <v>1567</v>
      </c>
      <c r="H819" s="11">
        <v>0.92347500000000005</v>
      </c>
      <c r="I819" s="8">
        <v>7.38</v>
      </c>
      <c r="J819" s="8">
        <v>2.85</v>
      </c>
      <c r="K819" s="9"/>
      <c r="L819" s="8">
        <v>1.36</v>
      </c>
      <c r="M819" s="8"/>
    </row>
    <row r="820" spans="1:13" ht="17.25" customHeight="1" x14ac:dyDescent="0.2">
      <c r="A820" s="2" t="s">
        <v>1568</v>
      </c>
      <c r="B820" s="2" t="s">
        <v>1559</v>
      </c>
      <c r="C820" s="2" t="s">
        <v>24</v>
      </c>
      <c r="D820" s="2"/>
      <c r="E820" s="2" t="s">
        <v>26</v>
      </c>
      <c r="F820" s="2" t="s">
        <v>1569</v>
      </c>
      <c r="G820" s="2" t="s">
        <v>594</v>
      </c>
      <c r="H820" s="8">
        <f>29.669+0.369</f>
        <v>30.038</v>
      </c>
      <c r="I820" s="8">
        <f>(1.01*29.669+0.94*0.369)/$H820</f>
        <v>1.0091400892203211</v>
      </c>
      <c r="J820" s="8">
        <f>(1.47*29.669+1.89*0.369)/$H820</f>
        <v>1.4751594646780744</v>
      </c>
      <c r="K820" s="10">
        <f>(31.3*29.669+25.5*0.369)/$H820</f>
        <v>31.228750249683735</v>
      </c>
      <c r="L820" s="8">
        <f>(0.31*29.669+0.18*0.369)/$H820</f>
        <v>0.3084030228377389</v>
      </c>
      <c r="M820" s="8">
        <f>(0.95*29.669+0.47*0.369)/$H820</f>
        <v>0.94410346893934349</v>
      </c>
    </row>
    <row r="821" spans="1:13" ht="17.25" customHeight="1" x14ac:dyDescent="0.2">
      <c r="A821" s="2" t="s">
        <v>1570</v>
      </c>
      <c r="B821" s="2" t="s">
        <v>1571</v>
      </c>
      <c r="C821" s="2" t="s">
        <v>1572</v>
      </c>
      <c r="D821" s="2" t="s">
        <v>1573</v>
      </c>
      <c r="E821" s="2" t="s">
        <v>26</v>
      </c>
      <c r="F821" s="2" t="s">
        <v>1574</v>
      </c>
      <c r="G821" s="2" t="s">
        <v>1575</v>
      </c>
      <c r="H821" s="8">
        <v>3.4990000000000001</v>
      </c>
      <c r="I821" s="8"/>
      <c r="J821" s="8">
        <v>0.28999999999999998</v>
      </c>
      <c r="K821" s="10"/>
      <c r="L821" s="8">
        <v>0.45</v>
      </c>
      <c r="M821" s="8"/>
    </row>
    <row r="822" spans="1:13" ht="17.25" customHeight="1" x14ac:dyDescent="0.2">
      <c r="A822" s="2" t="s">
        <v>1576</v>
      </c>
      <c r="B822" s="2" t="s">
        <v>1577</v>
      </c>
      <c r="C822" s="2" t="s">
        <v>24</v>
      </c>
      <c r="D822" s="2"/>
      <c r="E822" s="2" t="s">
        <v>26</v>
      </c>
      <c r="F822" s="2" t="s">
        <v>1578</v>
      </c>
      <c r="G822" s="2" t="s">
        <v>872</v>
      </c>
      <c r="H822" s="11">
        <f>6.702803+8.431244+2.336734</f>
        <v>17.470780999999999</v>
      </c>
      <c r="I822" s="8">
        <f>(0.18*6.702803+0.257*8.431244+0.334*2.336734)/$H822</f>
        <v>0.23775716746721282</v>
      </c>
      <c r="J822" s="8">
        <f>(3.947*6.702803+2.358*8.431244+2.2*2.336734)/$H822</f>
        <v>2.9464997353581395</v>
      </c>
      <c r="K822" s="10">
        <f>(27.297*6.702803+22.242*8.431244+26.525*2.336734)/$H822</f>
        <v>24.754246068850616</v>
      </c>
      <c r="L822" s="8">
        <f>(0.473*6.702803+0.218*8.431244+0.362*2.336734)/$H822</f>
        <v>0.33509290277292125</v>
      </c>
      <c r="M822" s="8">
        <f>(2.16*6.702803+1.925*8.431244+2.075*2.336734)/$H822</f>
        <v>2.0352222507969162</v>
      </c>
    </row>
    <row r="823" spans="1:13" ht="17.25" customHeight="1" x14ac:dyDescent="0.2">
      <c r="A823" s="2" t="s">
        <v>1579</v>
      </c>
      <c r="B823" s="2" t="s">
        <v>1577</v>
      </c>
      <c r="C823" s="2" t="s">
        <v>24</v>
      </c>
      <c r="D823" s="2"/>
      <c r="E823" s="2" t="s">
        <v>26</v>
      </c>
      <c r="F823" s="2" t="s">
        <v>809</v>
      </c>
      <c r="G823" s="2" t="s">
        <v>702</v>
      </c>
      <c r="H823" s="8">
        <f>(3.02+3.12)*0.9072</f>
        <v>5.5702080000000009</v>
      </c>
      <c r="I823" s="8">
        <f>(0.26*3.02+0.39*3.12)/(3.02+3.12)</f>
        <v>0.3260586319218241</v>
      </c>
      <c r="J823" s="8">
        <f>(5.63*3.02+5.58*3.12)/(3.02+3.12)</f>
        <v>5.6045928338762208</v>
      </c>
      <c r="K823" s="10">
        <f>((1.36*3.02+1.56*3.12)/(3.02+3.12))*31.1/0.9072</f>
        <v>50.106538211858513</v>
      </c>
      <c r="L823" s="8">
        <f>(0.64*3.02+0.39*3.12)/(3.02+3.12)</f>
        <v>0.51296416938110756</v>
      </c>
      <c r="M823" s="10">
        <f>((0.04*3.02+0.04*3.12)/(3.02+3.12))*31.1/0.9072</f>
        <v>1.371252204585538</v>
      </c>
    </row>
    <row r="824" spans="1:13" ht="17.25" customHeight="1" x14ac:dyDescent="0.2">
      <c r="A824" s="2" t="s">
        <v>1580</v>
      </c>
      <c r="B824" s="2" t="s">
        <v>1577</v>
      </c>
      <c r="C824" s="2" t="s">
        <v>410</v>
      </c>
      <c r="D824" s="2"/>
      <c r="E824" s="7" t="s">
        <v>16</v>
      </c>
      <c r="F824" s="2" t="s">
        <v>1581</v>
      </c>
      <c r="G824" s="2" t="s">
        <v>1582</v>
      </c>
      <c r="H824" s="11">
        <f>0.041605+0.048336+0.1+1.075</f>
        <v>1.2649409999999999</v>
      </c>
      <c r="I824" s="8">
        <f>(2.5*0.041605+2.5*0.048336+2.5*0.1+2.5*1.075)/$H824</f>
        <v>2.5</v>
      </c>
      <c r="J824" s="8">
        <f>(3.5*0.041605+3.5*0.048336+3.5*0.1+3.5*1.075)/$H824</f>
        <v>3.5</v>
      </c>
      <c r="K824" s="12">
        <f>31.1*(17.35*0.041605+7.56*0.048336+7*0.1+7.5*1.075)/$H824</f>
        <v>242.16761959727768</v>
      </c>
      <c r="L824" s="8"/>
      <c r="M824" s="8">
        <f>31.1*(0.25*0.041605+0.176*0.048336+0.15*0.1+0.17*1.075)/$H824</f>
        <v>5.3267905812207843</v>
      </c>
    </row>
    <row r="825" spans="1:13" ht="17.25" customHeight="1" x14ac:dyDescent="0.2">
      <c r="A825" s="2" t="s">
        <v>1583</v>
      </c>
      <c r="B825" s="2" t="s">
        <v>1577</v>
      </c>
      <c r="C825" s="2" t="s">
        <v>1584</v>
      </c>
      <c r="D825" s="2"/>
      <c r="E825" s="15" t="s">
        <v>1171</v>
      </c>
      <c r="F825" s="2" t="s">
        <v>1581</v>
      </c>
      <c r="G825" s="2" t="s">
        <v>1582</v>
      </c>
      <c r="H825" s="11">
        <f>0.025+0.021775</f>
        <v>4.6774999999999997E-2</v>
      </c>
      <c r="I825" s="8">
        <f>(0.15*0.025+0.38*0.021775)/$H825</f>
        <v>0.25707108498129344</v>
      </c>
      <c r="J825" s="8">
        <f>(0.42*0.025+0.91*0.021775)/$H825</f>
        <v>0.64810796365579915</v>
      </c>
      <c r="K825" s="10">
        <f>(50.22*0.025+120.22*0.021775)/$H825</f>
        <v>82.806851950828445</v>
      </c>
      <c r="L825" s="8">
        <f>(0.04*0.025+0.1*0.021775)/$H825</f>
        <v>6.793158738642438E-2</v>
      </c>
      <c r="M825" s="8">
        <f>(0.36*0.025+0.79*0.021775)/$H825</f>
        <v>0.56017637626937467</v>
      </c>
    </row>
    <row r="826" spans="1:13" ht="17.25" customHeight="1" x14ac:dyDescent="0.2">
      <c r="A826" s="2" t="s">
        <v>1585</v>
      </c>
      <c r="B826" s="2" t="s">
        <v>1577</v>
      </c>
      <c r="C826" s="2" t="s">
        <v>410</v>
      </c>
      <c r="D826" s="2" t="s">
        <v>1586</v>
      </c>
      <c r="E826" s="2" t="s">
        <v>26</v>
      </c>
      <c r="F826" s="2" t="s">
        <v>1587</v>
      </c>
      <c r="G826" s="2" t="s">
        <v>601</v>
      </c>
      <c r="H826" s="11">
        <f>(0.7636+0.0297+0.7072+0.88)*0.9072</f>
        <v>2.1595895999999999</v>
      </c>
      <c r="I826" s="8">
        <f>(6.6*0.7636+7.71*0.0297+5.13*0.7072+8.09*0.88)/(0.7636+0.0297+0.7072+0.88)</f>
        <v>6.7279491703423639</v>
      </c>
      <c r="J826" s="8"/>
      <c r="K826" s="10">
        <f>((6.61*0.7636+11.49*0.0297+5.25*0.7072+6.77*0.88)/(0.7636+0.0297+0.7072+0.88))*31.1/0.9072</f>
        <v>216.86362256050873</v>
      </c>
      <c r="L826" s="8"/>
      <c r="M826" s="8"/>
    </row>
    <row r="827" spans="1:13" ht="17.25" customHeight="1" x14ac:dyDescent="0.2">
      <c r="A827" s="2" t="s">
        <v>1588</v>
      </c>
      <c r="B827" s="2" t="s">
        <v>1577</v>
      </c>
      <c r="C827" s="2" t="s">
        <v>14</v>
      </c>
      <c r="D827" s="2" t="s">
        <v>15</v>
      </c>
      <c r="E827" s="2" t="s">
        <v>26</v>
      </c>
      <c r="F827" s="2" t="s">
        <v>625</v>
      </c>
      <c r="G827" s="2" t="s">
        <v>40</v>
      </c>
      <c r="H827" s="8">
        <f>0.57+5.3+24.75</f>
        <v>30.62</v>
      </c>
      <c r="I827" s="8"/>
      <c r="J827" s="8">
        <f>(2.71*0.57+3.86*5.3+3.86*24.75)/H827</f>
        <v>3.8385924232527757</v>
      </c>
      <c r="K827" s="9"/>
      <c r="L827" s="8"/>
      <c r="M827" s="8"/>
    </row>
    <row r="828" spans="1:13" ht="17.25" customHeight="1" x14ac:dyDescent="0.2">
      <c r="A828" s="2" t="s">
        <v>1589</v>
      </c>
      <c r="B828" s="2" t="s">
        <v>1577</v>
      </c>
      <c r="C828" s="2" t="s">
        <v>132</v>
      </c>
      <c r="D828" s="2"/>
      <c r="E828" s="7" t="s">
        <v>16</v>
      </c>
      <c r="F828" s="2" t="s">
        <v>1590</v>
      </c>
      <c r="G828" s="2" t="s">
        <v>1591</v>
      </c>
      <c r="H828" s="8">
        <f>18.23+9.65</f>
        <v>27.880000000000003</v>
      </c>
      <c r="I828" s="8"/>
      <c r="J828" s="8">
        <f>(0.19*18.23+0.31*9.65)/(18.23+9.65)</f>
        <v>0.2315351506456241</v>
      </c>
      <c r="K828" s="8">
        <f>((31.1*0.44*18.23+0*9.65)/(18.23+9.65))</f>
        <v>8.9476083213773308</v>
      </c>
      <c r="L828" s="8">
        <f>(0.49*18.23+0.29*9.65)/(18.23+9.65)</f>
        <v>0.42077474892395983</v>
      </c>
      <c r="M828" s="8">
        <f>((31.1*0.015*18.23+0*9.65)/(18.23+9.65))</f>
        <v>0.3050321018651363</v>
      </c>
    </row>
    <row r="829" spans="1:13" ht="17.25" customHeight="1" x14ac:dyDescent="0.2">
      <c r="A829" s="2" t="s">
        <v>1592</v>
      </c>
      <c r="B829" s="2" t="s">
        <v>1577</v>
      </c>
      <c r="C829" s="2" t="s">
        <v>24</v>
      </c>
      <c r="D829" s="2"/>
      <c r="E829" s="2" t="s">
        <v>26</v>
      </c>
      <c r="F829" s="2" t="s">
        <v>1238</v>
      </c>
      <c r="G829" s="2" t="s">
        <v>583</v>
      </c>
      <c r="H829" s="11">
        <f>(0.014+7.783+0.007+0.761+2.385)*0.9072</f>
        <v>9.93384</v>
      </c>
      <c r="I829" s="10">
        <f>(3*0.014+3.3*7.783+4.4*0.007+3.2*0.761+2.7*2.385)/(0.014+7.783+0.007+0.761+2.385)</f>
        <v>3.1626849315068499</v>
      </c>
      <c r="J829" s="10">
        <f>(8.1*0.014+8.7*7.783+10.5*0.007+7.3*0.761+6.5*2.385)/(0.014+7.783+0.007+0.761+2.385)</f>
        <v>8.1239086757990862</v>
      </c>
      <c r="K829" s="12">
        <f>((12.9*0.014+11.9*7.783+17.6*0.007+12.2*0.761+13.3*2.385)/(0.014+7.783+0.007+0.761+2.385))*31.1/0.9072</f>
        <v>419.28446804055636</v>
      </c>
      <c r="L829" s="8"/>
      <c r="M829" s="10">
        <f>((0.13*0.014+0.09*7.783+0.08*0.007+0.09*0.761+0.09*2.385)/(0.014+7.783+0.007+0.761+2.385))*31.1/0.9072</f>
        <v>3.0868515095874312</v>
      </c>
    </row>
    <row r="830" spans="1:13" ht="17.25" customHeight="1" x14ac:dyDescent="0.2">
      <c r="A830" s="2" t="s">
        <v>1593</v>
      </c>
      <c r="B830" s="2" t="s">
        <v>1577</v>
      </c>
      <c r="C830" s="2" t="s">
        <v>14</v>
      </c>
      <c r="D830" s="2" t="s">
        <v>38</v>
      </c>
      <c r="E830" s="2" t="s">
        <v>26</v>
      </c>
      <c r="F830" s="2" t="s">
        <v>1594</v>
      </c>
      <c r="G830" s="2" t="s">
        <v>47</v>
      </c>
      <c r="H830" s="8">
        <f>18.11+5.34</f>
        <v>23.45</v>
      </c>
      <c r="I830" s="8">
        <f>(2.72*18.11+2.69*5.34)/$H830</f>
        <v>2.713168443496802</v>
      </c>
      <c r="J830" s="8">
        <f>(8.1*18.11+8.66*5.34)/$H830</f>
        <v>8.2275223880597022</v>
      </c>
      <c r="K830" s="10">
        <f>(50.2*18.11+38*5.34)/$H830</f>
        <v>47.421833688699365</v>
      </c>
      <c r="L830" s="8"/>
      <c r="M830" s="8"/>
    </row>
    <row r="831" spans="1:13" ht="17.25" customHeight="1" x14ac:dyDescent="0.2">
      <c r="A831" s="2" t="s">
        <v>1595</v>
      </c>
      <c r="B831" s="2" t="s">
        <v>1577</v>
      </c>
      <c r="C831" s="2" t="s">
        <v>132</v>
      </c>
      <c r="D831" s="2"/>
      <c r="E831" s="7" t="s">
        <v>16</v>
      </c>
      <c r="F831" s="2" t="s">
        <v>1596</v>
      </c>
      <c r="G831" s="2" t="s">
        <v>1597</v>
      </c>
      <c r="H831" s="10">
        <f>7.4*0.9072</f>
        <v>6.7132800000000001</v>
      </c>
      <c r="I831" s="8"/>
      <c r="J831" s="9">
        <v>5</v>
      </c>
      <c r="K831" s="12">
        <f>1.2*31.1/0.9072</f>
        <v>41.137566137566139</v>
      </c>
      <c r="L831" s="8">
        <v>2.2000000000000002</v>
      </c>
      <c r="M831" s="10">
        <f>0.006*31.1/0.9072</f>
        <v>0.2056878306878307</v>
      </c>
    </row>
    <row r="832" spans="1:13" ht="17.25" customHeight="1" x14ac:dyDescent="0.2">
      <c r="A832" s="2" t="s">
        <v>1598</v>
      </c>
      <c r="B832" s="2" t="s">
        <v>1577</v>
      </c>
      <c r="C832" s="2" t="s">
        <v>410</v>
      </c>
      <c r="D832" s="2" t="s">
        <v>1586</v>
      </c>
      <c r="E832" s="2" t="s">
        <v>26</v>
      </c>
      <c r="F832" s="2" t="s">
        <v>1238</v>
      </c>
      <c r="G832" s="2" t="s">
        <v>583</v>
      </c>
      <c r="H832" s="11">
        <f>(3.708+2.698+12.279+9.318+7.481)*0.9072</f>
        <v>32.191084799999999</v>
      </c>
      <c r="I832" s="10">
        <f>(7.3*3.708+7.2*2.698+3.6*12.279+3.4*9.318+4.9*7.481)/(3.708+2.698+12.279+9.318+7.481)</f>
        <v>4.4819214293766203</v>
      </c>
      <c r="J832" s="10">
        <f>(2.3*3.708+2.6*2.698+2.2*12.279+1.9*9.318+1.9*7.481)/(3.708+2.698+12.279+9.318+4.9*7.481)</f>
        <v>1.1517973272460986</v>
      </c>
      <c r="K832" s="12">
        <f>((12.1*3.708+12*2.698+5.5*12.279+5.2*9.318+7.4*7.481)/(3.708+2.698+12.279+9.318+7.481))*31.1/0.9072</f>
        <v>240.16457904518953</v>
      </c>
      <c r="L832" s="8"/>
      <c r="M832" s="8"/>
    </row>
    <row r="833" spans="1:13" ht="17.25" customHeight="1" x14ac:dyDescent="0.2">
      <c r="A833" s="2" t="s">
        <v>1599</v>
      </c>
      <c r="B833" s="2" t="s">
        <v>1577</v>
      </c>
      <c r="C833" s="2" t="s">
        <v>14</v>
      </c>
      <c r="D833" s="2" t="s">
        <v>15</v>
      </c>
      <c r="E833" s="2" t="s">
        <v>26</v>
      </c>
      <c r="F833" s="2" t="s">
        <v>625</v>
      </c>
      <c r="G833" s="2" t="s">
        <v>40</v>
      </c>
      <c r="H833" s="8">
        <f>4.89+15.21</f>
        <v>20.100000000000001</v>
      </c>
      <c r="I833" s="8"/>
      <c r="J833" s="8">
        <f>(3.78*4.89+3.67*15.21)/H833</f>
        <v>3.6967611940298508</v>
      </c>
      <c r="K833" s="9"/>
      <c r="L833" s="8"/>
      <c r="M833" s="8"/>
    </row>
    <row r="834" spans="1:13" ht="17.25" customHeight="1" x14ac:dyDescent="0.2">
      <c r="A834" s="2" t="s">
        <v>1600</v>
      </c>
      <c r="B834" s="2" t="s">
        <v>1577</v>
      </c>
      <c r="C834" s="2" t="s">
        <v>42</v>
      </c>
      <c r="D834" s="2" t="s">
        <v>1601</v>
      </c>
      <c r="E834" s="2" t="s">
        <v>26</v>
      </c>
      <c r="F834" s="2" t="s">
        <v>1602</v>
      </c>
      <c r="G834" s="2" t="s">
        <v>1603</v>
      </c>
      <c r="H834" s="11">
        <f>37.778*0.9072</f>
        <v>34.272201600000002</v>
      </c>
      <c r="I834" s="8">
        <v>0.16300000000000001</v>
      </c>
      <c r="J834" s="8">
        <v>0.47599999999999998</v>
      </c>
      <c r="K834" s="8">
        <f>0.211*31.1/0.9072</f>
        <v>7.2333553791887129</v>
      </c>
      <c r="L834" s="8"/>
      <c r="M834" s="8">
        <f>0.0128*31.1/0.9072</f>
        <v>0.43880070546737215</v>
      </c>
    </row>
    <row r="835" spans="1:13" ht="17.25" customHeight="1" x14ac:dyDescent="0.2">
      <c r="A835" s="2" t="s">
        <v>1604</v>
      </c>
      <c r="B835" s="2" t="s">
        <v>1577</v>
      </c>
      <c r="C835" s="2" t="s">
        <v>24</v>
      </c>
      <c r="D835" s="2"/>
      <c r="E835" s="2" t="s">
        <v>26</v>
      </c>
      <c r="F835" s="2" t="s">
        <v>1605</v>
      </c>
      <c r="G835" s="2" t="s">
        <v>1606</v>
      </c>
      <c r="H835" s="8">
        <f>5.638+1.023+2.37</f>
        <v>9.0309999999999988</v>
      </c>
      <c r="I835" s="8"/>
      <c r="J835" s="8">
        <f>(1.73*5.638+1.56*1.023+1.17*2.37)/$H835</f>
        <v>1.5637825268519545</v>
      </c>
      <c r="K835" s="10">
        <f>(29.52*5.638+16.56*1.023+21.63*2.37)/$H835</f>
        <v>25.981368619200534</v>
      </c>
      <c r="L835" s="8">
        <f>(0.95*5.638+1*1.023+0.73*2.37)/$H835</f>
        <v>0.89792935444579791</v>
      </c>
      <c r="M835" s="8">
        <f>(1.75*5.638+1.11*1.023+1.42*2.37)/$H835</f>
        <v>1.5909013398294762</v>
      </c>
    </row>
    <row r="836" spans="1:13" ht="17.25" customHeight="1" x14ac:dyDescent="0.2">
      <c r="A836" s="2" t="s">
        <v>1607</v>
      </c>
      <c r="B836" s="2" t="s">
        <v>1577</v>
      </c>
      <c r="C836" s="2" t="s">
        <v>14</v>
      </c>
      <c r="D836" s="2" t="s">
        <v>15</v>
      </c>
      <c r="E836" s="2" t="s">
        <v>26</v>
      </c>
      <c r="F836" s="2" t="s">
        <v>497</v>
      </c>
      <c r="G836" s="2" t="s">
        <v>47</v>
      </c>
      <c r="H836" s="8">
        <f>3.7+2.9</f>
        <v>6.6</v>
      </c>
      <c r="I836" s="10">
        <f>(1.1*3.7+1.3*2.9)/$H836</f>
        <v>1.187878787878788</v>
      </c>
      <c r="J836" s="10">
        <f>(6.7*3.7+6.1*2.9)/$H836</f>
        <v>6.4363636363636374</v>
      </c>
      <c r="K836" s="9"/>
      <c r="L836" s="8"/>
      <c r="M836" s="8"/>
    </row>
    <row r="837" spans="1:13" ht="17.25" customHeight="1" x14ac:dyDescent="0.2">
      <c r="A837" s="2" t="s">
        <v>1608</v>
      </c>
      <c r="B837" s="2" t="s">
        <v>1577</v>
      </c>
      <c r="C837" s="2" t="s">
        <v>14</v>
      </c>
      <c r="D837" s="2" t="s">
        <v>38</v>
      </c>
      <c r="E837" s="2" t="s">
        <v>26</v>
      </c>
      <c r="F837" s="2" t="s">
        <v>497</v>
      </c>
      <c r="G837" s="2" t="s">
        <v>47</v>
      </c>
      <c r="H837" s="8">
        <f>45.4+7.5+0.2</f>
        <v>53.1</v>
      </c>
      <c r="I837" s="10">
        <f>(4.1*45.4+6.9*7.5+3.4*0.2)/$H837</f>
        <v>4.4928436911487752</v>
      </c>
      <c r="J837" s="10">
        <f>(15.8*45.4+25.7*7.5+10.7*0.2)/$H837</f>
        <v>17.179096045197742</v>
      </c>
      <c r="K837" s="10">
        <f>(72.6*45.4+137*7.5+68.8*0.2)/$H837</f>
        <v>81.681732580037647</v>
      </c>
      <c r="L837" s="8"/>
      <c r="M837" s="8"/>
    </row>
    <row r="838" spans="1:13" ht="17.25" customHeight="1" x14ac:dyDescent="0.2">
      <c r="A838" s="2" t="s">
        <v>1609</v>
      </c>
      <c r="B838" s="2" t="s">
        <v>1577</v>
      </c>
      <c r="C838" s="2" t="s">
        <v>14</v>
      </c>
      <c r="D838" s="2" t="s">
        <v>15</v>
      </c>
      <c r="E838" s="7" t="s">
        <v>16</v>
      </c>
      <c r="F838" s="2" t="s">
        <v>1610</v>
      </c>
      <c r="G838" s="2" t="s">
        <v>20</v>
      </c>
      <c r="H838" s="8">
        <v>11.8</v>
      </c>
      <c r="I838" s="8"/>
      <c r="J838" s="8">
        <v>0.99</v>
      </c>
      <c r="K838" s="10"/>
      <c r="L838" s="8"/>
      <c r="M838" s="8"/>
    </row>
    <row r="839" spans="1:13" ht="17.25" customHeight="1" x14ac:dyDescent="0.2">
      <c r="A839" s="2" t="s">
        <v>1611</v>
      </c>
      <c r="B839" s="2" t="s">
        <v>1577</v>
      </c>
      <c r="C839" s="2" t="s">
        <v>30</v>
      </c>
      <c r="D839" s="2"/>
      <c r="E839" s="2" t="s">
        <v>26</v>
      </c>
      <c r="F839" s="2" t="s">
        <v>1612</v>
      </c>
      <c r="G839" s="2" t="s">
        <v>872</v>
      </c>
      <c r="H839" s="11">
        <f>(0.4856+0.6461)*0.9072</f>
        <v>1.0266782399999999</v>
      </c>
      <c r="I839" s="8">
        <f>(4.3*0.4856+3.04*0.6461)/(0.4856+0.6461)</f>
        <v>3.5806521162852345</v>
      </c>
      <c r="J839" s="8">
        <f>(1.37*0.4856+0.99*0.6461)/(0.4856+0.6461)</f>
        <v>1.153053812847928</v>
      </c>
      <c r="K839" s="12">
        <f>((26.95*0.4856+14.93*0.6461)/(0.4856+0.6461))*31.1/0.9072</f>
        <v>688.63084338867452</v>
      </c>
      <c r="L839" s="8">
        <f>(0.25*0.4856+0.13*0.6461)/(0.4856+0.6461)</f>
        <v>0.18149067774145092</v>
      </c>
      <c r="M839" s="8">
        <f>((0.044*0.4856+0.038*0.6461)/(0.4856+0.6461))*31.1/0.9072</f>
        <v>1.3909479760669712</v>
      </c>
    </row>
    <row r="840" spans="1:13" ht="17.25" customHeight="1" x14ac:dyDescent="0.2">
      <c r="A840" s="2" t="s">
        <v>1613</v>
      </c>
      <c r="B840" s="2" t="s">
        <v>1577</v>
      </c>
      <c r="C840" s="2" t="s">
        <v>30</v>
      </c>
      <c r="D840" s="2"/>
      <c r="E840" s="2" t="s">
        <v>26</v>
      </c>
      <c r="F840" s="2" t="s">
        <v>1612</v>
      </c>
      <c r="G840" s="2" t="s">
        <v>872</v>
      </c>
      <c r="H840" s="11">
        <f>(0.2153+0.1007+0.0381)*0.9072</f>
        <v>0.32123952</v>
      </c>
      <c r="I840" s="8">
        <f>(1.71*0.2153+1.96*0.1007+1.69*0.0381)/(0.2153+0.1007+0.0381)</f>
        <v>1.7789438011861052</v>
      </c>
      <c r="J840" s="8">
        <f>(1.69*0.2153+1.74*0.1007+0.92*0.0381)/(0.2153+0.1007+0.0381)</f>
        <v>1.6213696695848627</v>
      </c>
      <c r="K840" s="12">
        <f>((10.08*0.2153+10.92*0.1007+11.01*0.0381)/(0.2153+0.1007+0.0381))*31.1/0.9072</f>
        <v>357.17508823322856</v>
      </c>
      <c r="L840" s="8"/>
      <c r="M840" s="8">
        <f>((0.034*0.2153+0.036*0.1007+0.025*0.0381)/(0.2153+0.1007+0.0381))*31.1/0.9072</f>
        <v>1.151865405601403</v>
      </c>
    </row>
    <row r="841" spans="1:13" ht="17.25" customHeight="1" x14ac:dyDescent="0.2">
      <c r="A841" s="2" t="s">
        <v>1614</v>
      </c>
      <c r="B841" s="2" t="s">
        <v>1577</v>
      </c>
      <c r="C841" s="2" t="s">
        <v>30</v>
      </c>
      <c r="D841" s="2" t="s">
        <v>49</v>
      </c>
      <c r="E841" s="2" t="s">
        <v>26</v>
      </c>
      <c r="F841" s="2" t="s">
        <v>1238</v>
      </c>
      <c r="G841" s="2" t="s">
        <v>583</v>
      </c>
      <c r="H841" s="11">
        <f>(0.516+3.078)*0.9072</f>
        <v>3.2604767999999997</v>
      </c>
      <c r="I841" s="10">
        <f>(2.1*0.516+1.3*3.078)/(0.516+3.078)</f>
        <v>1.4148580968280471</v>
      </c>
      <c r="J841" s="10">
        <f>(1.1*0.516+1.1*3.078)/(0.516+3.078)</f>
        <v>1.1000000000000001</v>
      </c>
      <c r="K841" s="12">
        <f>((14.8*0.516+10.7*3.078)/(0.516+3.078))*31.1/0.9072</f>
        <v>386.98957772065734</v>
      </c>
      <c r="L841" s="8"/>
      <c r="M841" s="8"/>
    </row>
    <row r="842" spans="1:13" ht="17.25" customHeight="1" x14ac:dyDescent="0.2">
      <c r="A842" s="2" t="s">
        <v>1615</v>
      </c>
      <c r="B842" s="2" t="s">
        <v>1577</v>
      </c>
      <c r="C842" s="2" t="s">
        <v>410</v>
      </c>
      <c r="D842" s="2" t="s">
        <v>1586</v>
      </c>
      <c r="E842" s="2" t="s">
        <v>26</v>
      </c>
      <c r="F842" s="2" t="s">
        <v>1238</v>
      </c>
      <c r="G842" s="2" t="s">
        <v>583</v>
      </c>
      <c r="H842" s="11">
        <f>(1.018+2.778)*0.9072</f>
        <v>3.4437312000000002</v>
      </c>
      <c r="I842" s="10">
        <f>(6.6*1.018+6.1*2.778)/(1.018+2.778)</f>
        <v>6.2340885142255003</v>
      </c>
      <c r="J842" s="10">
        <f>(7.7*1.018+5.7*2.778)/(1.018+2.778)</f>
        <v>6.2363540569020017</v>
      </c>
      <c r="K842" s="12">
        <f>((3.1*1.018+3.2*2.778)/(1.018+2.778))*31.1/0.9072</f>
        <v>108.78083051313646</v>
      </c>
      <c r="L842" s="8"/>
      <c r="M842" s="8"/>
    </row>
    <row r="843" spans="1:13" ht="17.25" customHeight="1" x14ac:dyDescent="0.2">
      <c r="A843" s="2" t="s">
        <v>1616</v>
      </c>
      <c r="B843" s="2" t="s">
        <v>1577</v>
      </c>
      <c r="C843" s="2" t="s">
        <v>222</v>
      </c>
      <c r="D843" s="2"/>
      <c r="E843" s="2" t="s">
        <v>26</v>
      </c>
      <c r="F843" s="2" t="s">
        <v>1188</v>
      </c>
      <c r="G843" s="2" t="s">
        <v>1189</v>
      </c>
      <c r="H843" s="11">
        <f>9.115*0.9072</f>
        <v>8.2691280000000003</v>
      </c>
      <c r="I843" s="8">
        <v>0.35</v>
      </c>
      <c r="J843" s="8">
        <v>0.02</v>
      </c>
      <c r="K843" s="12">
        <f>24.4*31.1/0.9072</f>
        <v>836.46384479717813</v>
      </c>
      <c r="L843" s="8">
        <v>0.26</v>
      </c>
      <c r="M843" s="8"/>
    </row>
    <row r="844" spans="1:13" ht="17.25" customHeight="1" x14ac:dyDescent="0.2">
      <c r="A844" s="2" t="s">
        <v>1617</v>
      </c>
      <c r="B844" s="2" t="s">
        <v>1577</v>
      </c>
      <c r="C844" s="2" t="s">
        <v>14</v>
      </c>
      <c r="D844" s="2"/>
      <c r="E844" s="7" t="s">
        <v>16</v>
      </c>
      <c r="F844" s="2" t="s">
        <v>17</v>
      </c>
      <c r="G844" s="2" t="s">
        <v>430</v>
      </c>
      <c r="H844" s="9">
        <v>34</v>
      </c>
      <c r="I844" s="10">
        <v>2</v>
      </c>
      <c r="J844" s="10">
        <v>8</v>
      </c>
      <c r="K844" s="12">
        <v>30</v>
      </c>
      <c r="L844" s="8"/>
      <c r="M844" s="8"/>
    </row>
    <row r="845" spans="1:13" ht="17.25" customHeight="1" x14ac:dyDescent="0.2">
      <c r="A845" s="2" t="s">
        <v>1618</v>
      </c>
      <c r="B845" s="2" t="s">
        <v>1577</v>
      </c>
      <c r="C845" s="2" t="s">
        <v>24</v>
      </c>
      <c r="D845" s="2"/>
      <c r="E845" s="2" t="s">
        <v>26</v>
      </c>
      <c r="F845" s="2" t="s">
        <v>1619</v>
      </c>
      <c r="G845" s="2" t="s">
        <v>376</v>
      </c>
      <c r="H845" s="8">
        <f>23.848+3.363</f>
        <v>27.210999999999999</v>
      </c>
      <c r="I845" s="8">
        <f>(0.76*23.848+0.58*3.363)/$H845</f>
        <v>0.73775384954613943</v>
      </c>
      <c r="J845" s="8">
        <f>(4.45*23.848+3.84*3.363)/$H845</f>
        <v>4.3746102679063616</v>
      </c>
      <c r="K845" s="10">
        <f>(53.2*23.848+41.5*3.363)/$H845</f>
        <v>51.754000220499066</v>
      </c>
      <c r="L845" s="8">
        <f>(3.26*23.848+3.22*3.363)/$H845</f>
        <v>3.2550564110102536</v>
      </c>
      <c r="M845" s="8">
        <f>(0.71*23.848+0.59*3.363)/$H845</f>
        <v>0.69516923303075961</v>
      </c>
    </row>
    <row r="846" spans="1:13" ht="17.25" customHeight="1" x14ac:dyDescent="0.2">
      <c r="A846" s="2" t="s">
        <v>1620</v>
      </c>
      <c r="B846" s="2" t="s">
        <v>1577</v>
      </c>
      <c r="C846" s="2" t="s">
        <v>132</v>
      </c>
      <c r="D846" s="2"/>
      <c r="E846" s="2" t="s">
        <v>26</v>
      </c>
      <c r="F846" s="2" t="s">
        <v>1621</v>
      </c>
      <c r="G846" s="2" t="s">
        <v>547</v>
      </c>
      <c r="H846" s="8">
        <f>1.764+7.493+13.519+48.337</f>
        <v>71.113</v>
      </c>
      <c r="I846" s="8"/>
      <c r="J846" s="8">
        <f>(2.81*1.764+2.5*7.493+2.09*13.519+1.69*48.337)/$H846</f>
        <v>1.8791723032356953</v>
      </c>
      <c r="K846" s="9"/>
      <c r="L846" s="8">
        <f>(0.16*1.764+0.13*7.493+0.22*13.519+0.22*48.337)/$H846</f>
        <v>0.20902858830312321</v>
      </c>
      <c r="M846" s="8"/>
    </row>
    <row r="847" spans="1:13" ht="17.25" customHeight="1" x14ac:dyDescent="0.2">
      <c r="A847" s="2" t="s">
        <v>1622</v>
      </c>
      <c r="B847" s="2" t="s">
        <v>1623</v>
      </c>
      <c r="C847" s="2" t="s">
        <v>24</v>
      </c>
      <c r="D847" s="2"/>
      <c r="E847" s="2" t="s">
        <v>26</v>
      </c>
      <c r="F847" s="2" t="s">
        <v>1624</v>
      </c>
      <c r="G847" s="2" t="s">
        <v>1625</v>
      </c>
      <c r="H847" s="8">
        <v>14.411999999999999</v>
      </c>
      <c r="I847" s="8">
        <v>3.5</v>
      </c>
      <c r="J847" s="8">
        <v>7.24</v>
      </c>
      <c r="K847" s="9">
        <v>134</v>
      </c>
      <c r="L847" s="8">
        <v>0.86</v>
      </c>
      <c r="M847" s="8">
        <v>0.38</v>
      </c>
    </row>
    <row r="848" spans="1:13" ht="17.25" customHeight="1" x14ac:dyDescent="0.2">
      <c r="A848" s="2" t="s">
        <v>1626</v>
      </c>
      <c r="B848" s="2" t="s">
        <v>1627</v>
      </c>
      <c r="C848" s="2" t="s">
        <v>24</v>
      </c>
      <c r="D848" s="2"/>
      <c r="E848" s="2" t="s">
        <v>26</v>
      </c>
      <c r="F848" s="2" t="s">
        <v>1628</v>
      </c>
      <c r="G848" s="2" t="s">
        <v>1159</v>
      </c>
      <c r="H848" s="11">
        <f>8.408+0.620856+0.620321+0.418935+15.707214</f>
        <v>25.775326</v>
      </c>
      <c r="I848" s="8">
        <f>(0.99*8.408+2.73*0.620856+1.9*0.620321+2.25*0.418935+0.17*15.707214)/$H848</f>
        <v>0.57459203076616761</v>
      </c>
      <c r="J848" s="8">
        <f>(1.9*8.408+5.26*0.620856+4.21*0.620321+4.72*0.418935+0.28*15.707214)/$H848</f>
        <v>1.0951499542624601</v>
      </c>
      <c r="K848" s="10">
        <f>(21.02*8.408+87.06*0.620856+22.55*0.620321+53.92*0.418935+4.86*15.707214)/$H848</f>
        <v>13.334541613557088</v>
      </c>
      <c r="L848" s="8">
        <f>(0.23*8.408+1.43*0.620856+1.95*0.620321+1.63*0.418935+1.1*15.707214)/$H848</f>
        <v>0.85322255400377867</v>
      </c>
      <c r="M848" s="8">
        <f>(0.24*8.408+0.52*0.620856+0.19*0.620321+0.12*0.418935+0.09*15.707214)/$H848</f>
        <v>0.15218226803416571</v>
      </c>
    </row>
    <row r="849" spans="1:13" ht="17.25" customHeight="1" x14ac:dyDescent="0.2">
      <c r="A849" s="2" t="s">
        <v>1629</v>
      </c>
      <c r="B849" s="2" t="s">
        <v>1630</v>
      </c>
      <c r="C849" s="2" t="s">
        <v>14</v>
      </c>
      <c r="D849" s="2" t="s">
        <v>1631</v>
      </c>
      <c r="E849" s="2" t="s">
        <v>26</v>
      </c>
      <c r="F849" s="2" t="s">
        <v>1632</v>
      </c>
      <c r="G849" s="2" t="s">
        <v>1633</v>
      </c>
      <c r="H849" s="8">
        <v>12.6</v>
      </c>
      <c r="I849" s="8">
        <v>1.2</v>
      </c>
      <c r="J849" s="8">
        <v>8.9</v>
      </c>
      <c r="K849" s="9">
        <v>68</v>
      </c>
      <c r="L849" s="8"/>
      <c r="M849" s="8"/>
    </row>
    <row r="850" spans="1:13" ht="17.25" customHeight="1" x14ac:dyDescent="0.2">
      <c r="A850" s="2" t="s">
        <v>1634</v>
      </c>
      <c r="B850" s="2" t="s">
        <v>1630</v>
      </c>
      <c r="C850" s="2" t="s">
        <v>14</v>
      </c>
      <c r="D850" s="2" t="s">
        <v>1631</v>
      </c>
      <c r="E850" s="15" t="s">
        <v>1635</v>
      </c>
      <c r="F850" s="2" t="s">
        <v>1632</v>
      </c>
      <c r="G850" s="2" t="s">
        <v>1633</v>
      </c>
      <c r="H850" s="8">
        <v>0.12</v>
      </c>
      <c r="I850" s="8">
        <v>3.5</v>
      </c>
      <c r="J850" s="9">
        <v>24</v>
      </c>
      <c r="K850" s="9">
        <v>160</v>
      </c>
      <c r="L850" s="8"/>
      <c r="M850" s="8"/>
    </row>
    <row r="851" spans="1:13" ht="17.25" customHeight="1" x14ac:dyDescent="0.2">
      <c r="A851" s="2" t="s">
        <v>1636</v>
      </c>
      <c r="B851" s="2" t="s">
        <v>1637</v>
      </c>
      <c r="C851" s="2" t="s">
        <v>14</v>
      </c>
      <c r="D851" s="2" t="s">
        <v>15</v>
      </c>
      <c r="E851" s="7" t="s">
        <v>16</v>
      </c>
      <c r="F851" s="2" t="s">
        <v>1638</v>
      </c>
      <c r="G851" s="2" t="s">
        <v>841</v>
      </c>
      <c r="H851" s="8">
        <v>1.1000000000000001</v>
      </c>
      <c r="I851" s="8">
        <v>2.8</v>
      </c>
      <c r="J851" s="9">
        <v>15</v>
      </c>
      <c r="K851" s="9"/>
      <c r="L851" s="8"/>
      <c r="M851" s="8"/>
    </row>
    <row r="852" spans="1:13" ht="17.25" customHeight="1" x14ac:dyDescent="0.2">
      <c r="A852" s="2" t="s">
        <v>1639</v>
      </c>
      <c r="B852" s="2" t="s">
        <v>1637</v>
      </c>
      <c r="C852" s="2" t="s">
        <v>14</v>
      </c>
      <c r="D852" s="2" t="s">
        <v>15</v>
      </c>
      <c r="E852" s="7" t="s">
        <v>16</v>
      </c>
      <c r="F852" s="2" t="s">
        <v>1638</v>
      </c>
      <c r="G852" s="2" t="s">
        <v>841</v>
      </c>
      <c r="H852" s="8">
        <v>0.6</v>
      </c>
      <c r="I852" s="8">
        <v>7.3</v>
      </c>
      <c r="J852" s="8">
        <v>10.5</v>
      </c>
      <c r="K852" s="9"/>
      <c r="L852" s="8"/>
      <c r="M8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Binh Vu</cp:lastModifiedBy>
  <dcterms:created xsi:type="dcterms:W3CDTF">2023-12-05T19:12:09Z</dcterms:created>
  <dcterms:modified xsi:type="dcterms:W3CDTF">2023-12-06T20:29:32Z</dcterms:modified>
</cp:coreProperties>
</file>